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FE Assumptions" sheetId="2" r:id="rId5"/>
    <sheet state="visible" name="Starting Data Set" sheetId="3" r:id="rId6"/>
    <sheet state="visible" name="FE Income Statement" sheetId="4" r:id="rId7"/>
    <sheet state="visible" name="FE Balance Sheet" sheetId="5" r:id="rId8"/>
    <sheet state="visible" name="FE Comparable Companies Analysi" sheetId="6" r:id="rId9"/>
    <sheet state="visible" name="FE Cash Flow" sheetId="7" r:id="rId10"/>
    <sheet state="visible" name="MK Assumptions" sheetId="8" r:id="rId11"/>
    <sheet state="visible" name="MK ACV Distribution" sheetId="9" r:id="rId12"/>
    <sheet state="visible" name="MK Demand Curve &amp; Purchase Inte" sheetId="10" r:id="rId13"/>
    <sheet state="visible" name="MK Sales Projections" sheetId="11" r:id="rId14"/>
    <sheet state="visible" name="MK Weighted Price Calculations" sheetId="12" r:id="rId15"/>
    <sheet state="visible" name="MK IMC Schedule" sheetId="13" r:id="rId16"/>
    <sheet state="visible" name="OM Assumptions" sheetId="14" r:id="rId17"/>
    <sheet state="visible" name="OM Cost Analysis" sheetId="15" r:id="rId18"/>
    <sheet state="visible" name="OM Capital Expenditures" sheetId="16" r:id="rId19"/>
    <sheet state="visible" name="OM IS Expenses" sheetId="17" r:id="rId20"/>
    <sheet state="visible" name="OM Raw Material Data" sheetId="18" r:id="rId21"/>
    <sheet state="visible" name="OM Direct Materials &amp; Direct La" sheetId="19" r:id="rId22"/>
    <sheet state="visible" name="OM Inventory" sheetId="20" r:id="rId23"/>
    <sheet state="visible" name="OM Demand and Lead Time" sheetId="21" r:id="rId24"/>
    <sheet state="visible" name="OM G&amp;A Expenses" sheetId="22" r:id="rId25"/>
    <sheet state="visible" name="OM Process Flow" sheetId="23" r:id="rId26"/>
    <sheet state="visible" name="OM Process Layout" sheetId="24" r:id="rId27"/>
    <sheet state="visible" name="OM Capacity Analysis" sheetId="25" r:id="rId28"/>
    <sheet state="visible" name="OM MOH Expenses" sheetId="26" r:id="rId29"/>
    <sheet state="visible" name="OM Location Analysis " sheetId="27" r:id="rId30"/>
    <sheet state="visible" name="OM Startup Costs" sheetId="28" r:id="rId31"/>
  </sheets>
  <definedNames>
    <definedName localSheetId="5" name="Scenario">'FE Assumptions'!#REF!</definedName>
    <definedName name="quantityDemanded">#REF!</definedName>
    <definedName name="demandSlope">#REF!</definedName>
    <definedName name="Scenario">#REF!</definedName>
    <definedName name="demandIntercept">#REF!</definedName>
    <definedName name="marketSize">#REF!</definedName>
  </definedNames>
  <calcPr/>
  <extLst>
    <ext uri="GoogleSheetsCustomDataVersion2">
      <go:sheetsCustomData xmlns:go="http://customooxmlschemas.google.com/" r:id="rId32" roundtripDataChecksum="h/fn/zI/n6FUMfyn4+kQjw/a08GXUGqcZ+SP5/Es44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MS Office 365
======</t>
      </text>
    </comment>
    <comment authorId="0" ref="B8">
      <text>
        <t xml:space="preserve">Clover Credit Card Software
======</t>
      </text>
    </comment>
    <comment authorId="0" ref="B20">
      <text>
        <t xml:space="preserve">Clover Compact
======</t>
      </text>
    </comment>
    <comment authorId="0" ref="B21">
      <text>
        <t xml:space="preserve">Moto-G 2025 Phone
======</t>
      </text>
    </comment>
    <comment authorId="0" ref="B22">
      <text>
        <t xml:space="preserve">ADT 
======</t>
      </text>
    </comment>
    <comment authorId="0" ref="B27">
      <text>
        <t xml:space="preserve">Wordpress
======</t>
      </text>
    </comment>
    <comment authorId="0" ref="B29">
      <text>
        <t xml:space="preserve">T-Mobile
======</t>
      </text>
    </comment>
    <comment authorId="0" ref="B30">
      <text>
        <t xml:space="preserve">T-Mobile CoreMobile
======</t>
      </text>
    </comment>
  </commentList>
</comments>
</file>

<file path=xl/sharedStrings.xml><?xml version="1.0" encoding="utf-8"?>
<sst xmlns="http://schemas.openxmlformats.org/spreadsheetml/2006/main" count="2645" uniqueCount="1024">
  <si>
    <t>INDEX</t>
  </si>
  <si>
    <t>FINANCE</t>
  </si>
  <si>
    <t>MARKETING</t>
  </si>
  <si>
    <t>OPERATIONS</t>
  </si>
  <si>
    <t>FE ASSUMPTIONS</t>
  </si>
  <si>
    <t>MK ASSUMPTIONS</t>
  </si>
  <si>
    <t>OM ASSUMPTIONS</t>
  </si>
  <si>
    <t>FE STARTING DATA SET</t>
  </si>
  <si>
    <t xml:space="preserve">MK ACV DISTRIBUTION </t>
  </si>
  <si>
    <t>OM COST ANALYSIS</t>
  </si>
  <si>
    <t>FE INCOME STATEMENT</t>
  </si>
  <si>
    <t>MK DEMAND CURVE &amp; PURCHASE INTENT</t>
  </si>
  <si>
    <t>OM CAPITAL EXPENDITURES</t>
  </si>
  <si>
    <t>FE BALANCE SHEET</t>
  </si>
  <si>
    <t xml:space="preserve">MK WEIGHTED PRICE CALCULATIONS </t>
  </si>
  <si>
    <t>OM INFORMATION SYSTEMS EXPENSES</t>
  </si>
  <si>
    <t xml:space="preserve">FE COMPARABLE COMPANIES ANALYSIS </t>
  </si>
  <si>
    <t>MK SALES PROJECTIONS</t>
  </si>
  <si>
    <t xml:space="preserve">OM DIRECT MATERIALS &amp; DIRECT LABOR </t>
  </si>
  <si>
    <t>FE CASH FLOW</t>
  </si>
  <si>
    <t xml:space="preserve">MK IMC SCHEDULE </t>
  </si>
  <si>
    <t xml:space="preserve">OM INVENTORY </t>
  </si>
  <si>
    <t>OM DEMAND AND LEAD TIME</t>
  </si>
  <si>
    <t>OM G&amp;A EXPENSES</t>
  </si>
  <si>
    <t>OM PROCESS FLOW</t>
  </si>
  <si>
    <t xml:space="preserve">OM CAPACITY ANALYSIS </t>
  </si>
  <si>
    <t>OM MOH EXPENSES</t>
  </si>
  <si>
    <t>OM LOCATION ANALYSIS</t>
  </si>
  <si>
    <t>OM STARTUP COSTS</t>
  </si>
  <si>
    <t>ASSUMPTIONS</t>
  </si>
  <si>
    <t>IN US DOLLARS ($)</t>
  </si>
  <si>
    <t>START-UP</t>
  </si>
  <si>
    <t>YEAR 1</t>
  </si>
  <si>
    <t>YEAR 2</t>
  </si>
  <si>
    <t>YEAR 3</t>
  </si>
  <si>
    <t>YEAR 4</t>
  </si>
  <si>
    <t>YEAR 5</t>
  </si>
  <si>
    <t>Link To</t>
  </si>
  <si>
    <t xml:space="preserve"> </t>
  </si>
  <si>
    <t xml:space="preserve">INITIAL STARTUP COSTS (START-UP COLUMN ONLY) </t>
  </si>
  <si>
    <t>INITIAL INVESTMENT IN FIXED ASSETS</t>
  </si>
  <si>
    <t>Long Term Balance Sheet Items (Can be depreciated - includes IS equip &amp; Factory/office buildout costs)</t>
  </si>
  <si>
    <t>OM</t>
  </si>
  <si>
    <t>INITIAL INVESTMENT IN NET WORKING CAPITAL</t>
  </si>
  <si>
    <t xml:space="preserve">     Cash (Additional Cash required in addition to Start Up costs)</t>
  </si>
  <si>
    <t>FE</t>
  </si>
  <si>
    <t>Raw Materials &amp; Work in Process, Start-Up Period Only  (Put Years 1-5 in table Below)</t>
  </si>
  <si>
    <t>Finished Goods Start-up Period Only (Put Years 1-5 in table Below)</t>
  </si>
  <si>
    <t>INITIAL OPERATING EXPENSES</t>
  </si>
  <si>
    <t xml:space="preserve">      Product Development (Prototype, engineer, etc.)</t>
  </si>
  <si>
    <t xml:space="preserve">      Pre-Marketing Expenses (Marketing expenses before Year 1) See Sales Projection Tutorial</t>
  </si>
  <si>
    <t>MK</t>
  </si>
  <si>
    <t xml:space="preserve">      All Other (Miscellaneous non depreciated expenses, additional salaries, Rent etc.)</t>
  </si>
  <si>
    <t>MK, OM</t>
  </si>
  <si>
    <t>Subtotal Start Up Operating Expenses</t>
  </si>
  <si>
    <t xml:space="preserve">OPERATING INFORMATION (YEARS 1-5) </t>
  </si>
  <si>
    <t xml:space="preserve">UNITS SOLD </t>
  </si>
  <si>
    <t xml:space="preserve">   Units into independent retailers</t>
  </si>
  <si>
    <t xml:space="preserve">   Units online</t>
  </si>
  <si>
    <t xml:space="preserve">   Units into chain retailer</t>
  </si>
  <si>
    <t xml:space="preserve">   Units into mass merchants</t>
  </si>
  <si>
    <t>TOTAL UNITS SOLD</t>
  </si>
  <si>
    <t>WEIGHTED AVERAGE MANUFACTURER SELLING PRICE</t>
  </si>
  <si>
    <t xml:space="preserve">   To independent retailers</t>
  </si>
  <si>
    <t xml:space="preserve">   For online sales</t>
  </si>
  <si>
    <t xml:space="preserve">   To chain retailer</t>
  </si>
  <si>
    <t xml:space="preserve">   To mass merchants</t>
  </si>
  <si>
    <t>AVERAGE WEIGHTED MANUFACTURER'S AVERAGE SELLING PRICE TO CHANNEL</t>
  </si>
  <si>
    <t>COST OF GOODS SOLD</t>
  </si>
  <si>
    <r>
      <rPr>
        <rFont val="Consolas"/>
        <color theme="1"/>
        <sz val="10.0"/>
      </rPr>
      <t xml:space="preserve">        Variable Cost </t>
    </r>
    <r>
      <rPr>
        <rFont val="Consolas"/>
        <b/>
        <color theme="1"/>
        <sz val="10.0"/>
      </rPr>
      <t>Per Unit</t>
    </r>
    <r>
      <rPr>
        <rFont val="Consolas"/>
        <color theme="1"/>
        <sz val="10.0"/>
      </rPr>
      <t xml:space="preserve"> ($/Unit) (Total Direct Cost = Direct Labor + Direct Materials )</t>
    </r>
  </si>
  <si>
    <r>
      <rPr>
        <rFont val="Consolas"/>
        <color theme="1"/>
        <sz val="10.0"/>
      </rPr>
      <t xml:space="preserve">       </t>
    </r>
    <r>
      <rPr>
        <rFont val="Consolas"/>
        <b/>
        <color theme="1"/>
        <sz val="10.0"/>
      </rPr>
      <t xml:space="preserve"> Total </t>
    </r>
    <r>
      <rPr>
        <rFont val="Consolas"/>
        <color theme="1"/>
        <sz val="10.0"/>
      </rPr>
      <t>Outbound Freight ($) (The gross amount, Not Per Unit)</t>
    </r>
  </si>
  <si>
    <t>Total Variable Costs Including Freight ($)</t>
  </si>
  <si>
    <t xml:space="preserve">        Fixed Production Costs ($) (Total MOH per year)</t>
  </si>
  <si>
    <t>COGS Sensitivity</t>
  </si>
  <si>
    <t>Total Cost of Goods Sold</t>
  </si>
  <si>
    <t>Per Unit</t>
  </si>
  <si>
    <t>SELLING, GENERAL, AND ADMINISTRATIVE EXPENSES</t>
  </si>
  <si>
    <t xml:space="preserve">      Production costs not included in Cost of Good sold (if any, you may not have any)</t>
  </si>
  <si>
    <t xml:space="preserve">       Fixed Administrative Costs </t>
  </si>
  <si>
    <t xml:space="preserve">       Marketing Expenses (Push and Pull) Excluding Manufacturers Reps ($)</t>
  </si>
  <si>
    <t xml:space="preserve">     Manufacturer's Sales Reps Commission Expense (10% - excludes Online Units)</t>
  </si>
  <si>
    <t>INFORMATION SYSTEMS EXPENSES</t>
  </si>
  <si>
    <t>TOTAL SELLING, GENERAL, AND ADMINISTRATIVE</t>
  </si>
  <si>
    <t xml:space="preserve">PER UNIT </t>
  </si>
  <si>
    <t xml:space="preserve">BALANCE SHEET INFORMATION (YEARS 1-5) </t>
  </si>
  <si>
    <t>Accounts Receivable (Days AR Outstanding) - Online Sales Channel</t>
  </si>
  <si>
    <t>5 Days</t>
  </si>
  <si>
    <t>Given Assumption, no further research required</t>
  </si>
  <si>
    <t>Accounts Receivable (Days AR Outstanding) - All other Sales Channels</t>
  </si>
  <si>
    <t>45 Days</t>
  </si>
  <si>
    <t>Accounts Payable (Days Payable Outstanding) - US Sourced  Vendors</t>
  </si>
  <si>
    <t>30 Days</t>
  </si>
  <si>
    <t>Accounts Payable (Days Payable Outstanding) - Non-US Sourced  Vendors</t>
  </si>
  <si>
    <t>0 Days</t>
  </si>
  <si>
    <t xml:space="preserve">INVENTORY, NET WORIKNG CAPITAL </t>
  </si>
  <si>
    <t>Raw Materials &amp; Work in Process (Time 0 is above in Start Up Section)</t>
  </si>
  <si>
    <t>Finished Goods (Time 0 is above in Start Up Section)</t>
  </si>
  <si>
    <t xml:space="preserve">  Total Inventories</t>
  </si>
  <si>
    <t>Additional Investment in Fixed Assets, more capacity or replacement</t>
  </si>
  <si>
    <t xml:space="preserve">OTHER INFORMATION </t>
  </si>
  <si>
    <t>DISCOUNT RATE</t>
  </si>
  <si>
    <t>COMMISSION PAID TO MANUFACTURING REPRESENTATIVES</t>
  </si>
  <si>
    <t>FEDERAL TAX RATE</t>
  </si>
  <si>
    <t>CASH AS A PERCENTAGE OF SALES</t>
  </si>
  <si>
    <t>STARTING DATA SET</t>
  </si>
  <si>
    <t>Gross Capital Expenditure ($/per year)</t>
  </si>
  <si>
    <t>Cash Balance as a percent of Sales (%) ($10K required for startup)</t>
  </si>
  <si>
    <t>Accounts Receivable Days (DSO)</t>
  </si>
  <si>
    <t>Accounts Payable Days (DPO)</t>
  </si>
  <si>
    <t>Total Days Inventory on Hand (DOH, includes RM, FPI &amp; WIP. $25K required for start-up.)</t>
  </si>
  <si>
    <t>Sales ($)</t>
  </si>
  <si>
    <t>Variable Costs ($)</t>
  </si>
  <si>
    <t>Fixed Production Costs ($)</t>
  </si>
  <si>
    <t>Initial Startup Expenses ($)</t>
  </si>
  <si>
    <t>Administrative Overhead/Salaries ($)</t>
  </si>
  <si>
    <t>General Operating Expenses not already part of CoGS ($)</t>
  </si>
  <si>
    <t>Marketing Expenses Excluding Mfg. Reps. Commission ($)</t>
  </si>
  <si>
    <t>Manufacturing Reps Commission as percent of Sales (%)</t>
  </si>
  <si>
    <t>Annual Depreciation ($)</t>
  </si>
  <si>
    <t>State and Federal Income Tax Rate (%)</t>
  </si>
  <si>
    <t>Discount Rate</t>
  </si>
  <si>
    <t xml:space="preserve">Terminal Value: Assumes Year 6 FCF is 2% higher than Year 5 and is a declining perpetuity thereafter. </t>
  </si>
  <si>
    <t>Perpetuity Decline Rate (%):</t>
  </si>
  <si>
    <t>INCOME STATEMENT</t>
  </si>
  <si>
    <t xml:space="preserve">*IN US DOLLARS ($) </t>
  </si>
  <si>
    <t>ONLINE REVENUE</t>
  </si>
  <si>
    <t>INDEPENDENT RETAILER REVENUE</t>
  </si>
  <si>
    <t>CHAIN RETAILER REVENUE</t>
  </si>
  <si>
    <t>MASS MERCHANT REVENUE</t>
  </si>
  <si>
    <t>TOTAL REVENUE</t>
  </si>
  <si>
    <t xml:space="preserve">Total Revenue Sensitivity
</t>
  </si>
  <si>
    <t xml:space="preserve">DIRECT MATERIALS COST </t>
  </si>
  <si>
    <t>PER UNIT</t>
  </si>
  <si>
    <t>DIRECT LABOR COST</t>
  </si>
  <si>
    <t>INBOUND FREIGHT COST</t>
  </si>
  <si>
    <t>OUTBOUND FREIGHT COST</t>
  </si>
  <si>
    <t>MANUFACTURING OVERHEAD COST</t>
  </si>
  <si>
    <t>TOTAL COST OF GOODS SOLD</t>
  </si>
  <si>
    <t>GROSS PROFIT</t>
  </si>
  <si>
    <t>ONE-TIME START-UP EXPENSE</t>
  </si>
  <si>
    <t>ADMINISTRATIVE OVERHEAD</t>
  </si>
  <si>
    <t xml:space="preserve">GENERAL OPERATING EXPENSES (INFORMATION SYSTEMS) </t>
  </si>
  <si>
    <t>TOTAL GENERAL &amp; ADMINISTRATIVE EXPENSES</t>
  </si>
  <si>
    <t xml:space="preserve">MARKETING EXPENSES (IMC SCHEDULE) </t>
  </si>
  <si>
    <t xml:space="preserve">MANUFACTURER'S SALES COMMISSION </t>
  </si>
  <si>
    <t>TOTAL SALES &amp; MARKETING EXPENSE</t>
  </si>
  <si>
    <t>DEPRECIATION</t>
  </si>
  <si>
    <t>Earnings Before Tax</t>
  </si>
  <si>
    <t>TAXES</t>
  </si>
  <si>
    <t>NET INCOME</t>
  </si>
  <si>
    <t>Statement of Retained Earnings</t>
  </si>
  <si>
    <t>Less cash returned to investors (Dividends)</t>
  </si>
  <si>
    <t>Increase (Decrease) in Retained Earnings</t>
  </si>
  <si>
    <t>Income Statement Financial Ratios - To be Calculated</t>
  </si>
  <si>
    <t>COGS % Sales</t>
  </si>
  <si>
    <t>Gross Margin % Sales</t>
  </si>
  <si>
    <t>SG&amp;A % Sales</t>
  </si>
  <si>
    <t>Marketing Expenses % Sales</t>
  </si>
  <si>
    <t>Net Income % Sales</t>
  </si>
  <si>
    <t>BALANCE SHEET</t>
  </si>
  <si>
    <t>Comments For Future Buildout</t>
  </si>
  <si>
    <t>Current Assets</t>
  </si>
  <si>
    <t>Cash reserves</t>
  </si>
  <si>
    <t>FE assumptions</t>
  </si>
  <si>
    <t>Accounts Receivable</t>
  </si>
  <si>
    <t xml:space="preserve">Raw Materials &amp; Work in Process Inventory </t>
  </si>
  <si>
    <t xml:space="preserve">Finished Goods Inventory </t>
  </si>
  <si>
    <t>Total Inventory</t>
  </si>
  <si>
    <t>OM worksheets.  By the end of the semester you must separate this line into FPI and RM+WIP</t>
  </si>
  <si>
    <t xml:space="preserve">    Current Assets</t>
  </si>
  <si>
    <t>Fixed Assets</t>
  </si>
  <si>
    <t>Gross Fixed Assets</t>
  </si>
  <si>
    <t>OM asset schedule</t>
  </si>
  <si>
    <t>Accumulated Depreciation (cumulative)</t>
  </si>
  <si>
    <t>FE Income Statement</t>
  </si>
  <si>
    <t>Net Fixed Assets</t>
  </si>
  <si>
    <t>TOTAL ASSETS</t>
  </si>
  <si>
    <t>Current Liabilities</t>
  </si>
  <si>
    <t>Accounts Payable</t>
  </si>
  <si>
    <t xml:space="preserve">     Current Liabilities</t>
  </si>
  <si>
    <t>Equity</t>
  </si>
  <si>
    <t>Paid in Capital (cumulative)</t>
  </si>
  <si>
    <t>See FE Cash Flow Tab for any year with Negative FCF</t>
  </si>
  <si>
    <t>Retained Earnings (cumulative)</t>
  </si>
  <si>
    <t>See FE Income Statement Tab for changes in Retained Earnings</t>
  </si>
  <si>
    <t xml:space="preserve">      Total Equity</t>
  </si>
  <si>
    <t>TOTAL LIABILTIES AND EQUITY</t>
  </si>
  <si>
    <t>Check Total Assets - Total Liabilities &amp; Equity</t>
  </si>
  <si>
    <t>&lt;&lt;Do not delete or hide this line - you may move.</t>
  </si>
  <si>
    <t>NET WORKING CAPITAL BALANCE</t>
  </si>
  <si>
    <t>link to FE Cash Flow schedule</t>
  </si>
  <si>
    <t>BALANCE SHEET FINANCIAL RATIOS</t>
  </si>
  <si>
    <t>DAYS SALES OUTSTANDING (ONLINE)</t>
  </si>
  <si>
    <t xml:space="preserve">DAYS SALES OUTSTANDING (ALL OTHER RETAIL) </t>
  </si>
  <si>
    <r>
      <rPr>
        <rFont val="Arial"/>
        <color theme="1"/>
        <sz val="10.0"/>
      </rPr>
      <t>These should be calculated</t>
    </r>
    <r>
      <rPr>
        <rFont val="Arial"/>
        <b/>
        <color rgb="FFFF0000"/>
        <sz val="10.0"/>
      </rPr>
      <t xml:space="preserve"> Outputs</t>
    </r>
  </si>
  <si>
    <t>DAYS INVENTORY OUTSTANDING</t>
  </si>
  <si>
    <r>
      <rPr>
        <rFont val="Arial"/>
        <color theme="1"/>
        <sz val="10.0"/>
      </rPr>
      <t>These should be calculated</t>
    </r>
    <r>
      <rPr>
        <rFont val="Arial"/>
        <b/>
        <color rgb="FFFF0000"/>
        <sz val="10.0"/>
      </rPr>
      <t xml:space="preserve"> Outputs</t>
    </r>
  </si>
  <si>
    <t>DAYS PAYABLE OUTSTANDING</t>
  </si>
  <si>
    <t xml:space="preserve">COMPS ANALYSIS </t>
  </si>
  <si>
    <t xml:space="preserve">COMPANY INFO </t>
  </si>
  <si>
    <t>VALUATION METRICS</t>
  </si>
  <si>
    <t>OPERATING METRICS</t>
  </si>
  <si>
    <t>MARGINS</t>
  </si>
  <si>
    <t xml:space="preserve">MULTIPLES &amp; VALUATION </t>
  </si>
  <si>
    <t>WORKING CAPITAL RATIOS</t>
  </si>
  <si>
    <t>RETURN METRICS</t>
  </si>
  <si>
    <t>NAME</t>
  </si>
  <si>
    <t>TICKER</t>
  </si>
  <si>
    <t>WEIGHT</t>
  </si>
  <si>
    <t>ENTERPRISE VALUE</t>
  </si>
  <si>
    <t>EQUITY VALUE</t>
  </si>
  <si>
    <t>BETA</t>
  </si>
  <si>
    <t>REVENUE</t>
  </si>
  <si>
    <t>EBITDA</t>
  </si>
  <si>
    <t>GROSS MARGIN</t>
  </si>
  <si>
    <t>EBITDA MARGIN</t>
  </si>
  <si>
    <t>NET MARGIN</t>
  </si>
  <si>
    <t>EV/REVENUE</t>
  </si>
  <si>
    <t>EV/EBITDA</t>
  </si>
  <si>
    <t>P/E</t>
  </si>
  <si>
    <t>WACC</t>
  </si>
  <si>
    <t>DSO</t>
  </si>
  <si>
    <t>DIO</t>
  </si>
  <si>
    <t>DPO</t>
  </si>
  <si>
    <t>CCC</t>
  </si>
  <si>
    <t>ROE</t>
  </si>
  <si>
    <t>ROA</t>
  </si>
  <si>
    <t>ROIC</t>
  </si>
  <si>
    <t xml:space="preserve">XPLORA </t>
  </si>
  <si>
    <t>XPLRA</t>
  </si>
  <si>
    <t>MIPS</t>
  </si>
  <si>
    <t>MIPS AB</t>
  </si>
  <si>
    <t>RIDEFOX</t>
  </si>
  <si>
    <t>FOXF</t>
  </si>
  <si>
    <t>THULE GROUP</t>
  </si>
  <si>
    <t>THULE</t>
  </si>
  <si>
    <t xml:space="preserve">MEAN </t>
  </si>
  <si>
    <t>MEDIAN</t>
  </si>
  <si>
    <t>WEIGHTED AVERAGE</t>
  </si>
  <si>
    <t xml:space="preserve">CAPITAL ASSET PRICING MODEL </t>
  </si>
  <si>
    <t>COMPARABLE BETA</t>
  </si>
  <si>
    <t>RISK-FREE RATE</t>
  </si>
  <si>
    <t xml:space="preserve">EQUITY RISK PREMIUM </t>
  </si>
  <si>
    <t>SMALL-CAP PREMIUM</t>
  </si>
  <si>
    <t>COST OF EQUITY</t>
  </si>
  <si>
    <t>STATEMENT OF CASH FLOWS</t>
  </si>
  <si>
    <t>Notes</t>
  </si>
  <si>
    <t>Income Statement</t>
  </si>
  <si>
    <t>ADD BACK DEPRECIATION</t>
  </si>
  <si>
    <t>(-) CHANGE IN FIXED ASSETS</t>
  </si>
  <si>
    <t>OM asset planning, FE Balance Sheet</t>
  </si>
  <si>
    <t>(+/-) CASH IMPACT OF THE CHANGE IN NWC</t>
  </si>
  <si>
    <t>Balance Sheet</t>
  </si>
  <si>
    <t>NET FREE CASH FLOW</t>
  </si>
  <si>
    <r>
      <rPr>
        <rFont val="Arial"/>
        <b/>
        <color theme="1"/>
        <sz val="10.0"/>
      </rPr>
      <t xml:space="preserve">Cash Flow: </t>
    </r>
    <r>
      <rPr>
        <rFont val="Arial"/>
        <color theme="1"/>
        <sz val="10.0"/>
      </rPr>
      <t>If positive, treat as a dividend,</t>
    </r>
  </si>
  <si>
    <t xml:space="preserve">   if negative, treat as additional paid-in capital.</t>
  </si>
  <si>
    <t>TERMINAL VALUE OF BUSINESS</t>
  </si>
  <si>
    <t>Terminal Value</t>
  </si>
  <si>
    <t>See Note on Terminal Value on "Starting Data Set" Tab</t>
  </si>
  <si>
    <t>TOTAL CASH FLOW</t>
  </si>
  <si>
    <t>CASH BREAKEVEN?</t>
  </si>
  <si>
    <t>YEAR</t>
  </si>
  <si>
    <t>PAYBACK PERIOD</t>
  </si>
  <si>
    <t xml:space="preserve">NET PRESENT VALUE (INCLUDING TV) </t>
  </si>
  <si>
    <t>(requires Total  cash-flows and a discount rate)</t>
  </si>
  <si>
    <t xml:space="preserve">INTERNAL RATE OF RETURN (INCLUDING TV) </t>
  </si>
  <si>
    <t>(requires Total cash-flows)</t>
  </si>
  <si>
    <t>MARKETING ASSUMPTIONS</t>
  </si>
  <si>
    <t xml:space="preserve">YEAR 1 </t>
  </si>
  <si>
    <t>ACV</t>
  </si>
  <si>
    <t>% of Sales</t>
  </si>
  <si>
    <t>Influencer Type</t>
  </si>
  <si>
    <t>Following Lower bound</t>
  </si>
  <si>
    <t>Following Upper Bound</t>
  </si>
  <si>
    <t>Payment Lower Bound</t>
  </si>
  <si>
    <t>Payment Upper Bound</t>
  </si>
  <si>
    <t xml:space="preserve">Online </t>
  </si>
  <si>
    <t>nano</t>
  </si>
  <si>
    <t>SEGMENT ASSUMPTIONS</t>
  </si>
  <si>
    <t xml:space="preserve">Independent </t>
  </si>
  <si>
    <t>micro</t>
  </si>
  <si>
    <t>Segment Size</t>
  </si>
  <si>
    <t xml:space="preserve">Total ACV </t>
  </si>
  <si>
    <t>Mid-Tier</t>
  </si>
  <si>
    <t>Segment Growth Rate</t>
  </si>
  <si>
    <t>macro</t>
  </si>
  <si>
    <t>mega</t>
  </si>
  <si>
    <t>ACV GUIDELINES</t>
  </si>
  <si>
    <t xml:space="preserve">Year 1 </t>
  </si>
  <si>
    <t xml:space="preserve">Year 2 </t>
  </si>
  <si>
    <t>Year 3</t>
  </si>
  <si>
    <t>Year 4</t>
  </si>
  <si>
    <t xml:space="preserve">Year 5 </t>
  </si>
  <si>
    <t xml:space="preserve">RETAILER MARGINS </t>
  </si>
  <si>
    <t xml:space="preserve">Chain </t>
  </si>
  <si>
    <t>Online</t>
  </si>
  <si>
    <t>Independent Retailer</t>
  </si>
  <si>
    <t>Chain Retailer</t>
  </si>
  <si>
    <t>Mass Merchant</t>
  </si>
  <si>
    <t>Independent</t>
  </si>
  <si>
    <t xml:space="preserve">UNITS LOST TO COMPETITION </t>
  </si>
  <si>
    <t>Chain</t>
  </si>
  <si>
    <t>Total ACV</t>
  </si>
  <si>
    <t>DISTRIBUTION</t>
  </si>
  <si>
    <t>RETAIL SELLING PRICE</t>
  </si>
  <si>
    <t xml:space="preserve">RETAILER DISTRIBUTION (ACV) </t>
  </si>
  <si>
    <t xml:space="preserve">ACV Sensitivity </t>
  </si>
  <si>
    <t>YEAR 1 TOTAL ACV</t>
  </si>
  <si>
    <t>ONLINE</t>
  </si>
  <si>
    <t>INDEPENDENT RETAILER</t>
  </si>
  <si>
    <t>CHAIN RETAILER</t>
  </si>
  <si>
    <t>MASS MERCHANT</t>
  </si>
  <si>
    <t>% OF ACV</t>
  </si>
  <si>
    <t>% OF SALES</t>
  </si>
  <si>
    <t>TOTAL UNITS</t>
  </si>
  <si>
    <t>ERROR CHECK</t>
  </si>
  <si>
    <t>YEAR 1 UNITS</t>
  </si>
  <si>
    <t>YEAR 2 TOTAL ACV</t>
  </si>
  <si>
    <t>YEAR 3 TOTAL ACV</t>
  </si>
  <si>
    <t>YEAR 4 TOTAL ACV</t>
  </si>
  <si>
    <t>YEAR 5 TOTAL ACV</t>
  </si>
  <si>
    <t xml:space="preserve">PURCHASE INTENT </t>
  </si>
  <si>
    <t>PIVOT TABLE FOR PURCHASE INTENT</t>
  </si>
  <si>
    <t xml:space="preserve">GRAND TOTAL </t>
  </si>
  <si>
    <t>DEFINITELY BUY</t>
  </si>
  <si>
    <t>PROBABLY BUY</t>
  </si>
  <si>
    <t>MAYBE BUY</t>
  </si>
  <si>
    <t xml:space="preserve">PROBABLY NOT BUY </t>
  </si>
  <si>
    <t>DEFINITELY NOT BUY</t>
  </si>
  <si>
    <t>CUMULATIVE PURCHASE INTENT</t>
  </si>
  <si>
    <t>CUMULATIVE NUMBER AT PROBABLY BUY</t>
  </si>
  <si>
    <t>ADJUSTED NUMBER AT PROBABLY BUY</t>
  </si>
  <si>
    <t>CUMULATIVE NUMBER AT DEFINITELY BUY</t>
  </si>
  <si>
    <t>ADJUSTED NUMBER AT DEFINITELY BUY</t>
  </si>
  <si>
    <t>SUM OF PURCHASE INTENT</t>
  </si>
  <si>
    <t>TOTAL SAMPLE SIZE</t>
  </si>
  <si>
    <t>ADJUSTMENT FOR TOTAL SAMPLE SIZE</t>
  </si>
  <si>
    <t>PRICE</t>
  </si>
  <si>
    <t>SLOPE OF CUMULATIVE P.I.</t>
  </si>
  <si>
    <t xml:space="preserve">INTERCEPT </t>
  </si>
  <si>
    <t>BASES MODEL (YEARS 1-5)</t>
  </si>
  <si>
    <t>BASES FORECAST</t>
  </si>
  <si>
    <t>TARGET MARKET SIZE</t>
  </si>
  <si>
    <t>Target Market Size Sensitivity</t>
  </si>
  <si>
    <t xml:space="preserve">ADJUSTED Purchase Intent @ $ Average Weighted Retail Price </t>
  </si>
  <si>
    <t>Awareness</t>
  </si>
  <si>
    <t xml:space="preserve">ACV </t>
  </si>
  <si>
    <t xml:space="preserve">Awareness Sensitivity </t>
  </si>
  <si>
    <t xml:space="preserve">Units at Trial </t>
  </si>
  <si>
    <t xml:space="preserve">TRIAL UNITS </t>
  </si>
  <si>
    <t xml:space="preserve">Repeat Units </t>
  </si>
  <si>
    <t xml:space="preserve">BASES Sales Units (before competition) </t>
  </si>
  <si>
    <t>BASES Sales Units Sensitivity</t>
  </si>
  <si>
    <t xml:space="preserve">Competition Adjustment (units lost to competition) </t>
  </si>
  <si>
    <t xml:space="preserve">Average WEIGHTED manufacturer's selling price to channel </t>
  </si>
  <si>
    <t xml:space="preserve">MANUFACTURER SALES ($) </t>
  </si>
  <si>
    <t>YEAR 5 TOTAL VARIABLE COST</t>
  </si>
  <si>
    <t>YEAR 5 IMC COST</t>
  </si>
  <si>
    <t>ESTIMATED PRODUCT LIFE CYCLE IN YEARS</t>
  </si>
  <si>
    <t>Revenue</t>
  </si>
  <si>
    <t>All-Commodity Volume</t>
  </si>
  <si>
    <t>Purchase Intent</t>
  </si>
  <si>
    <t>Year</t>
  </si>
  <si>
    <t xml:space="preserve">Units Lost to Competition </t>
  </si>
  <si>
    <t xml:space="preserve">WEIGHTED PRICE CALCULATIONS </t>
  </si>
  <si>
    <t xml:space="preserve">AVERAGE WEIGHTED MANUFACTURER's SELLING PRICE (YEAR 1) </t>
  </si>
  <si>
    <t>% MANU TOTAL UNITS</t>
  </si>
  <si>
    <t>MANU. SELLING PRICE</t>
  </si>
  <si>
    <t>RETAILER MARGIN</t>
  </si>
  <si>
    <t>UNITS ONLINE</t>
  </si>
  <si>
    <t>UNITS INTO INDEPENDENT RETAILERS</t>
  </si>
  <si>
    <t>UNITS INTO CHAIN RETAILERS</t>
  </si>
  <si>
    <t>UNITS INTO MASS MERCHANTS</t>
  </si>
  <si>
    <t xml:space="preserve">AVERAGE WEIGHTED MANUFACTURING PRICE </t>
  </si>
  <si>
    <t xml:space="preserve">AVERAGE WEIGHTED RETAIL PRICE </t>
  </si>
  <si>
    <t xml:space="preserve">AVERAGE WEIGHTED MANUFACTURER's SELLING PRICE (YEAR 2) </t>
  </si>
  <si>
    <t xml:space="preserve">IMC SCHEDULE (YEARS 1-5) </t>
  </si>
  <si>
    <t>WEBSITE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</si>
  <si>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</si>
  <si>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</si>
  <si>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</si>
  <si>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</si>
  <si>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</si>
  <si>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</si>
  <si>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</si>
  <si>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</si>
  <si>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</si>
  <si>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</si>
  <si>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</si>
  <si>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</si>
  <si>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COST</t>
  </si>
  <si>
    <t>AWARENESS</t>
  </si>
  <si>
    <t>CPM/CPC</t>
  </si>
  <si>
    <t>Website</t>
  </si>
  <si>
    <t>Production Costs</t>
  </si>
  <si>
    <t>TOTAL IMC BUDGET</t>
  </si>
  <si>
    <t>SEGMENT SIZE</t>
  </si>
  <si>
    <t xml:space="preserve">OUT OF HOME ADVERTISING (YEAR 1) </t>
  </si>
  <si>
    <t>PULL</t>
  </si>
  <si>
    <t>CITIES</t>
  </si>
  <si>
    <t>COST PER AD</t>
  </si>
  <si>
    <t>ADS PER CITY</t>
  </si>
  <si>
    <t>TIMES PER YEAR</t>
  </si>
  <si>
    <t>AWARENESS RATE PER $1000</t>
  </si>
  <si>
    <t>Paid Media</t>
  </si>
  <si>
    <t>NEW YORK CITY</t>
  </si>
  <si>
    <t xml:space="preserve">Social Media  </t>
  </si>
  <si>
    <t xml:space="preserve">WASHINGTON D.C. </t>
  </si>
  <si>
    <t>Youtube Ads</t>
  </si>
  <si>
    <t>BOSTON</t>
  </si>
  <si>
    <t>Google Search</t>
  </si>
  <si>
    <t>SAN FRANCISCO</t>
  </si>
  <si>
    <t>Influencer Marketing</t>
  </si>
  <si>
    <t>MINNEAPOLIS</t>
  </si>
  <si>
    <t>OOH Advertising</t>
  </si>
  <si>
    <t>AVERAGE COST PER AD</t>
  </si>
  <si>
    <t>Owned Media</t>
  </si>
  <si>
    <t>PAID MEDIA (YEAR 1)</t>
  </si>
  <si>
    <t>Earned Media</t>
  </si>
  <si>
    <t>MEDIA TYPE</t>
  </si>
  <si>
    <t>BUDGET</t>
  </si>
  <si>
    <t>TARGETED IMPRESSIONS</t>
  </si>
  <si>
    <t>AD IMPACT TARGET IMPRESSIONS</t>
  </si>
  <si>
    <t>PEOPLE AWARE</t>
  </si>
  <si>
    <t>Social Media Amp &amp; WOM</t>
  </si>
  <si>
    <t>SOCIAL MEDIA</t>
  </si>
  <si>
    <t>Public Relations</t>
  </si>
  <si>
    <t>YOUTUBE</t>
  </si>
  <si>
    <t>TOTAL PULL</t>
  </si>
  <si>
    <t>GOOGLE DESKTOP</t>
  </si>
  <si>
    <t>PUSH</t>
  </si>
  <si>
    <t>CPM STRATEGY</t>
  </si>
  <si>
    <t>Outdoor Demo Trade Show</t>
  </si>
  <si>
    <t>Life Time Sea Otter Classic Trade Show</t>
  </si>
  <si>
    <t>INFLUENCER MARKETING (YEAR 1)</t>
  </si>
  <si>
    <t>Safe Routes Partnership</t>
  </si>
  <si>
    <t>INFLUENCER</t>
  </si>
  <si>
    <t xml:space="preserve">FOLLOWING </t>
  </si>
  <si>
    <t>INFLUENCER TYPE</t>
  </si>
  <si>
    <t xml:space="preserve">PAYMENTS BASED ON SIZE </t>
  </si>
  <si>
    <t>TOTAL INLUENCER SPEND</t>
  </si>
  <si>
    <t>AWARENESS (GIVEN)</t>
  </si>
  <si>
    <t>TOTAL PUSH</t>
  </si>
  <si>
    <t>TwoWheelingTots</t>
  </si>
  <si>
    <t>Nano</t>
  </si>
  <si>
    <t>RascalRides</t>
  </si>
  <si>
    <t>KellyJaneCollinge</t>
  </si>
  <si>
    <t>PERCENTAGE OF SALES</t>
  </si>
  <si>
    <t>TheMultiDad</t>
  </si>
  <si>
    <t>Micro</t>
  </si>
  <si>
    <t>DadBodCycling</t>
  </si>
  <si>
    <t>CPM</t>
  </si>
  <si>
    <t xml:space="preserve">OUT OF HOME ADVERTISING (YEAR 2) </t>
  </si>
  <si>
    <t>WASHINGTON DC</t>
  </si>
  <si>
    <t>AUSTIN</t>
  </si>
  <si>
    <t>PAID MEDIA (YEAR 2)</t>
  </si>
  <si>
    <t>INFLUENCER MARKETING (YEAR 2)</t>
  </si>
  <si>
    <t>Following</t>
  </si>
  <si>
    <t>AdamBlythe</t>
  </si>
  <si>
    <t>Mid-tier</t>
  </si>
  <si>
    <t>OUT OF HOME ADVERTISING (YEAR 3)</t>
  </si>
  <si>
    <t xml:space="preserve">Social Media </t>
  </si>
  <si>
    <t>CHICAGO</t>
  </si>
  <si>
    <t>DENVER</t>
  </si>
  <si>
    <t>PAID MEDIA (YEAR 3)</t>
  </si>
  <si>
    <t>INFLUENCER MARKETING (YEAR 3)</t>
  </si>
  <si>
    <t>EmilyBatty1</t>
  </si>
  <si>
    <t>Macro</t>
  </si>
  <si>
    <t xml:space="preserve">OUT OF HOME ADVERTISING (YEAR 4) </t>
  </si>
  <si>
    <t xml:space="preserve">MINNEAPOLIS </t>
  </si>
  <si>
    <t xml:space="preserve">PHILADELPHIA </t>
  </si>
  <si>
    <t>PAID MEDIA (YEAR 4)</t>
  </si>
  <si>
    <t>INFLUENCER MARKETING (YEAR 4)</t>
  </si>
  <si>
    <t>TedLegity</t>
  </si>
  <si>
    <t xml:space="preserve">OUT OF HOME ADVERTISING (YEAR 5) </t>
  </si>
  <si>
    <t>LOS ANGELES</t>
  </si>
  <si>
    <t>PHILADELPHIA</t>
  </si>
  <si>
    <t>PAID MEDIA (YEAR 5)</t>
  </si>
  <si>
    <t>INFLUENCER MARKETING (YEAR 5)</t>
  </si>
  <si>
    <t xml:space="preserve">OM ASSUMPTIONS </t>
  </si>
  <si>
    <t xml:space="preserve">SG&amp;A </t>
  </si>
  <si>
    <t xml:space="preserve">Executive Salaries as a % of Manu. Sales </t>
  </si>
  <si>
    <t xml:space="preserve">DIRECT LABOR </t>
  </si>
  <si>
    <t>Labor Wage Growth Rate</t>
  </si>
  <si>
    <t>Work Days Per Year</t>
  </si>
  <si>
    <t xml:space="preserve">Salesperson Commission Rate </t>
  </si>
  <si>
    <t>Work Hours per Day</t>
  </si>
  <si>
    <t>Work Hours per Year</t>
  </si>
  <si>
    <t>Direct Labor Rate Growth</t>
  </si>
  <si>
    <t>Employee Benefit Rate</t>
  </si>
  <si>
    <t xml:space="preserve">MANUFACTURING OVERHEAD &amp; LOCATION ANALYSIS </t>
  </si>
  <si>
    <t>Warehouse Size (SQFT) YoY Growth Rate</t>
  </si>
  <si>
    <t>DIRECT MATERIALS</t>
  </si>
  <si>
    <t xml:space="preserve">Office Space (% of Total Warehouse Size) </t>
  </si>
  <si>
    <t>Inflation Rate</t>
  </si>
  <si>
    <t>Monthly Rental Cost per Squarefoot</t>
  </si>
  <si>
    <t>Increase in Orders per Year</t>
  </si>
  <si>
    <t xml:space="preserve">Rent Cost per SQFT Growth (2%) </t>
  </si>
  <si>
    <t>Fixed Cost per Order</t>
  </si>
  <si>
    <t>Service Level Sensitivity</t>
  </si>
  <si>
    <t xml:space="preserve">Water Cost per Gallon </t>
  </si>
  <si>
    <t>Target Service Level (Years 1 - 5)</t>
  </si>
  <si>
    <t xml:space="preserve">Electicity Cost per KwH </t>
  </si>
  <si>
    <t>Service Level Z-Score (Years 1 - 5)</t>
  </si>
  <si>
    <t>KwH Cost Growth Rate</t>
  </si>
  <si>
    <t>Holding Cost Rate</t>
  </si>
  <si>
    <t>Water Cost Per Gallon Growth Rate</t>
  </si>
  <si>
    <t>Gallons Used Per Year Growth Rate</t>
  </si>
  <si>
    <t>CAPITAL EXPENDITURES</t>
  </si>
  <si>
    <t>Service Cost per SQFT</t>
  </si>
  <si>
    <t>Finished Units per Industrial Shelf</t>
  </si>
  <si>
    <t xml:space="preserve">Inbound Freight Cost (% of Unit Cost) </t>
  </si>
  <si>
    <t xml:space="preserve">Indirect Materials (% of Direct Materials) </t>
  </si>
  <si>
    <t>Weight per Unit (incl. packaging) (lbs)</t>
  </si>
  <si>
    <t>Units per Pack</t>
  </si>
  <si>
    <t>Weight per Pack (lbs)</t>
  </si>
  <si>
    <t>Case Cost per Pound</t>
  </si>
  <si>
    <t>Cost per 40 Unit Box (Independent Stores)</t>
  </si>
  <si>
    <t>LTL Freight Cost per Pallet</t>
  </si>
  <si>
    <t xml:space="preserve">Finished Units per Wood Pallet </t>
  </si>
  <si>
    <t xml:space="preserve">Outbound Freight Rate Growth </t>
  </si>
  <si>
    <t>Finished Units per Utility Cart</t>
  </si>
  <si>
    <t xml:space="preserve">Finished Units per Storage Bin </t>
  </si>
  <si>
    <t>INVENTORY</t>
  </si>
  <si>
    <t>20ft Shipping Conatiner Cubic Feet</t>
  </si>
  <si>
    <t xml:space="preserve">Order Cost </t>
  </si>
  <si>
    <t>Cubic Feet per Industrial Shelf</t>
  </si>
  <si>
    <t>TARGET COSTING</t>
  </si>
  <si>
    <t>RETAIL PRICE PER UNIT</t>
  </si>
  <si>
    <t xml:space="preserve">CHANNEL MARGIN PER UNIT </t>
  </si>
  <si>
    <t xml:space="preserve">PERCENTAGE OF RETAIL PRICE (%) </t>
  </si>
  <si>
    <t>MANUFACTURER'S PRICE PER UNIT</t>
  </si>
  <si>
    <t xml:space="preserve">PERCENTAGE OF MANUFACTURER PRICE (%) </t>
  </si>
  <si>
    <t>SALES &amp; MARKETING EXPENSE PER UNIT</t>
  </si>
  <si>
    <t>GENERAL &amp; ADMINISTRATIVE EXPENSE PER UNIT</t>
  </si>
  <si>
    <t>TAX EXPENSE PER UNIT</t>
  </si>
  <si>
    <t>MARGINAL PROFIT PER UNIT</t>
  </si>
  <si>
    <t xml:space="preserve">FINAL CALCULATED COST OF GOODS SOLD </t>
  </si>
  <si>
    <t>DIRECT MATERIALS COST PER UNIT</t>
  </si>
  <si>
    <t xml:space="preserve">PERCENTAGE OF COGS (%) </t>
  </si>
  <si>
    <t>DIRECT LABOR COST PER UNIT</t>
  </si>
  <si>
    <t>MANUFACTURING OVERHEAD COST PER UNIT</t>
  </si>
  <si>
    <t>INBOUND FREIGHT COST PER UNIT</t>
  </si>
  <si>
    <t>OUTBOUND FREIGHT COST PER UNIT</t>
  </si>
  <si>
    <t xml:space="preserve">ERROR CHECK </t>
  </si>
  <si>
    <t xml:space="preserve">LONG-TERM CAPEX (10+ YEAR D&amp;A) </t>
  </si>
  <si>
    <t xml:space="preserve">EQUIPMENT </t>
  </si>
  <si>
    <t xml:space="preserve">USEFUL LIFE (YEARS) </t>
  </si>
  <si>
    <t xml:space="preserve">START-UP </t>
  </si>
  <si>
    <t>AMOUNT IN YEAR 1</t>
  </si>
  <si>
    <t>AMOUNT IN YEAR 2</t>
  </si>
  <si>
    <t>AMOUNT IN YEAR 3</t>
  </si>
  <si>
    <t>AMOUNT IN YEAR 4</t>
  </si>
  <si>
    <t>AMOUNT IN YEAR 5</t>
  </si>
  <si>
    <t>Injection Molding Machine</t>
  </si>
  <si>
    <t xml:space="preserve">Custom Steel Molds </t>
  </si>
  <si>
    <t xml:space="preserve">Industrial Shelving/Storage </t>
  </si>
  <si>
    <t>Forklift</t>
  </si>
  <si>
    <t>Industrial Shipping Label Printer</t>
  </si>
  <si>
    <t>Wood Pallets</t>
  </si>
  <si>
    <t>Industrial Scale</t>
  </si>
  <si>
    <t>20ft Inventory Shipping Container</t>
  </si>
  <si>
    <t xml:space="preserve">SHORT-TERM CAPEX (5 YEAR D&amp;A MAXIMUM)  </t>
  </si>
  <si>
    <t>Photocopier + Commercial Printer</t>
  </si>
  <si>
    <t xml:space="preserve">High-end Network Equipment (router, modem) </t>
  </si>
  <si>
    <t xml:space="preserve">Laptops </t>
  </si>
  <si>
    <t>Desktops</t>
  </si>
  <si>
    <t>Cell Phones</t>
  </si>
  <si>
    <t>POS Device</t>
  </si>
  <si>
    <t xml:space="preserve">Security Cameras &amp; Equipment </t>
  </si>
  <si>
    <t xml:space="preserve">Soddering Equipment </t>
  </si>
  <si>
    <t>Moving Carts</t>
  </si>
  <si>
    <t xml:space="preserve">Storage Bins </t>
  </si>
  <si>
    <t xml:space="preserve">CAPITAL EXPENDITURE COST </t>
  </si>
  <si>
    <t>COST PER EQUIPMENT</t>
  </si>
  <si>
    <t>YEAR 1 CAPEX</t>
  </si>
  <si>
    <t>YEAR 2 CAPEX</t>
  </si>
  <si>
    <t>YEAR 3 CAPEX</t>
  </si>
  <si>
    <t>YEAR 4 CAPEX</t>
  </si>
  <si>
    <t>YEAR 5 CAPEX</t>
  </si>
  <si>
    <t>Laptops (managers)</t>
  </si>
  <si>
    <t xml:space="preserve">Sodering Equipment </t>
  </si>
  <si>
    <t>CapEx Sensitivity</t>
  </si>
  <si>
    <t>TOTAL CAPEX</t>
  </si>
  <si>
    <t xml:space="preserve">DEPRECIATION (STRAIGHT-LINE) </t>
  </si>
  <si>
    <t>USEFUL LIFE</t>
  </si>
  <si>
    <t>START-UP D&amp;A</t>
  </si>
  <si>
    <t>YEAR 1 D&amp;A</t>
  </si>
  <si>
    <t>YEAR 2 D&amp;A</t>
  </si>
  <si>
    <t>YEAR 3 D&amp;A</t>
  </si>
  <si>
    <t>YEAR 4 D&amp;A</t>
  </si>
  <si>
    <t>YEAR 5 D&amp;A</t>
  </si>
  <si>
    <t xml:space="preserve">Soldering Equipment </t>
  </si>
  <si>
    <t>TOTAL D&amp;A</t>
  </si>
  <si>
    <t>INFORMATION SYSTEMS EXPENSE</t>
  </si>
  <si>
    <t xml:space="preserve">Year 0 </t>
  </si>
  <si>
    <t>Year 1</t>
  </si>
  <si>
    <t>Year 2</t>
  </si>
  <si>
    <t>Year 5</t>
  </si>
  <si>
    <t>INFORMATION SYSTEMS PARAMETERS</t>
  </si>
  <si>
    <t>SOFTWARE</t>
  </si>
  <si>
    <t>Licenscing Fee</t>
  </si>
  <si>
    <t>Implementation &amp; Training</t>
  </si>
  <si>
    <t>-</t>
  </si>
  <si>
    <t>MS Office 365</t>
  </si>
  <si>
    <t>Licensing</t>
  </si>
  <si>
    <t>Maintenence Fee (5%)</t>
  </si>
  <si>
    <t>Credit Card Processing</t>
  </si>
  <si>
    <t>Personal Productivity Software (Backup,Cloud,Security)</t>
  </si>
  <si>
    <t>Laptop</t>
  </si>
  <si>
    <t xml:space="preserve">Credit Card Processing </t>
  </si>
  <si>
    <t>Desktop</t>
  </si>
  <si>
    <t>Phones</t>
  </si>
  <si>
    <t>Systems &amp; Network Admin</t>
  </si>
  <si>
    <t>Security Camera</t>
  </si>
  <si>
    <t>VPN</t>
  </si>
  <si>
    <t>Credit Card Software</t>
  </si>
  <si>
    <t>Firewall security software</t>
  </si>
  <si>
    <t>Total Software Expense</t>
  </si>
  <si>
    <t>HARDWARE</t>
  </si>
  <si>
    <t>Internet</t>
  </si>
  <si>
    <t>Laptops</t>
  </si>
  <si>
    <t>Printers</t>
  </si>
  <si>
    <t>Photocopiers</t>
  </si>
  <si>
    <t>High End Networking Equipment (Modem, Router, etc.)</t>
  </si>
  <si>
    <t>Point of sales devices</t>
  </si>
  <si>
    <t>Security Camera (Equipment + Monitorting)</t>
  </si>
  <si>
    <t>Total Hardware Expense</t>
  </si>
  <si>
    <t>ONGOING MAINTENANCE</t>
  </si>
  <si>
    <t>WEBSITE DEVELOPMENT</t>
  </si>
  <si>
    <t>Setup Cost</t>
  </si>
  <si>
    <t>Maintenence Cost</t>
  </si>
  <si>
    <t xml:space="preserve">INTERNET, PHONE PLAN, ETC&gt; </t>
  </si>
  <si>
    <t xml:space="preserve"> bhggh</t>
  </si>
  <si>
    <t>Internet Plan</t>
  </si>
  <si>
    <t>Phone Service Plan</t>
  </si>
  <si>
    <t>Total IS Expenses</t>
  </si>
  <si>
    <t>PRIMARY SUPPLIER RAW MATERIAL DATA</t>
  </si>
  <si>
    <t>COMPONENT</t>
  </si>
  <si>
    <t>COUNTRY OF ORIGIN</t>
  </si>
  <si>
    <t>LEAD TIME (DAYS)</t>
  </si>
  <si>
    <t>PCS NEEDED PER 1 UNIT</t>
  </si>
  <si>
    <t>COST FOR 1 PC (OQ&lt;1K PCS)</t>
  </si>
  <si>
    <t>COST PER UNIT (OQ &lt;1K PCs)</t>
  </si>
  <si>
    <t>COST FOR 1 PC (OQ 1K-10K UNITS)</t>
  </si>
  <si>
    <t>COST PER UNIT (OQ 1K-10K PCs)</t>
  </si>
  <si>
    <t>COST FOR 1 PC (OQ 10K+ UNITS)</t>
  </si>
  <si>
    <t>COST PER UNIT (OQ 10K+ PCs)</t>
  </si>
  <si>
    <t>Telescope Pole</t>
  </si>
  <si>
    <t>USA</t>
  </si>
  <si>
    <t>Safety Flag</t>
  </si>
  <si>
    <t>China</t>
  </si>
  <si>
    <t>Bike Mount</t>
  </si>
  <si>
    <t>Speaker</t>
  </si>
  <si>
    <t>Battery Pack</t>
  </si>
  <si>
    <t>Attachable Spoke Magnet</t>
  </si>
  <si>
    <t>PCB</t>
  </si>
  <si>
    <r>
      <rPr>
        <rFont val="Consolas"/>
        <b/>
        <color rgb="FF1155CC"/>
        <sz val="11.0"/>
        <u/>
      </rPr>
      <t>Wiring</t>
    </r>
    <r>
      <rPr>
        <rFont val="Consolas"/>
        <b/>
        <color rgb="FF000000"/>
        <sz val="11.0"/>
        <u/>
      </rPr>
      <t xml:space="preserve"> (meters)</t>
    </r>
  </si>
  <si>
    <t>Light</t>
  </si>
  <si>
    <t>Assembly Screws</t>
  </si>
  <si>
    <t>Hall Magnetic Sensor</t>
  </si>
  <si>
    <t>Malaysia</t>
  </si>
  <si>
    <r>
      <rPr>
        <rFont val="Consolas"/>
        <b/>
        <color rgb="FF1155CC"/>
        <sz val="11.0"/>
        <u/>
      </rPr>
      <t>Pellets</t>
    </r>
    <r>
      <rPr>
        <rFont val="Consolas"/>
        <b/>
        <color rgb="FF000000"/>
        <sz val="11.0"/>
        <u/>
      </rPr>
      <t xml:space="preserve"> (lbs)</t>
    </r>
  </si>
  <si>
    <t>Custom Shells</t>
  </si>
  <si>
    <t>AVERAGE LEAD TIME:</t>
  </si>
  <si>
    <t>TOTAL COST PER UNIT:</t>
  </si>
  <si>
    <t>SECONDARY SUPPLIER IN THE EVENT OF EXTREME TARIFFS RAW MATERIAL DATA</t>
  </si>
  <si>
    <t>COST PER UNIT (OQ &lt;1K PCS)</t>
  </si>
  <si>
    <t>COST PER UNIT (OQ 1K-10K Units)</t>
  </si>
  <si>
    <t>COST PER UNIT (OQ 10K+)</t>
  </si>
  <si>
    <t>Wiring (meters)</t>
  </si>
  <si>
    <r>
      <rPr>
        <rFont val="Consolas"/>
        <b/>
        <color rgb="FF0070C0"/>
        <sz val="11.0"/>
        <u/>
      </rPr>
      <t>Pellets</t>
    </r>
    <r>
      <rPr>
        <rFont val="Consolas"/>
        <b/>
        <color rgb="FF0070C0"/>
        <sz val="11.0"/>
        <u/>
      </rPr>
      <t xml:space="preserve"> (lbs)</t>
    </r>
  </si>
  <si>
    <t xml:space="preserve">AVERAGE LEAD TIME </t>
  </si>
  <si>
    <t>YEAR 1 RAW MATERIAL INVENTORY (PRIMARY SUPPLIERS)</t>
  </si>
  <si>
    <t>CYCLE STOCK UNITS</t>
  </si>
  <si>
    <t>CYCLE STOCK VALUE</t>
  </si>
  <si>
    <t>SAFETY STOCK UNITS</t>
  </si>
  <si>
    <t>SAFETY STOCK VALUE</t>
  </si>
  <si>
    <t>TOTAL RM INVENTORY VALUE</t>
  </si>
  <si>
    <r>
      <rPr>
        <rFont val="Consolas"/>
        <b/>
        <color rgb="FF000000"/>
        <sz val="11.0"/>
      </rPr>
      <t>Wiring</t>
    </r>
    <r>
      <rPr>
        <rFont val="Consolas"/>
        <b/>
        <color rgb="FF000000"/>
        <sz val="11.0"/>
      </rPr>
      <t xml:space="preserve"> (meters)</t>
    </r>
  </si>
  <si>
    <r>
      <rPr>
        <rFont val="Consolas"/>
        <b/>
        <color rgb="FF000000"/>
        <sz val="11.0"/>
      </rPr>
      <t>Pellets</t>
    </r>
    <r>
      <rPr>
        <rFont val="Consolas"/>
        <b/>
        <color rgb="FF000000"/>
        <sz val="11.0"/>
      </rPr>
      <t xml:space="preserve"> (lbs)</t>
    </r>
  </si>
  <si>
    <t>TOTAL:</t>
  </si>
  <si>
    <t>YEAR 2 RAW MATERIAL INVENTORY (PRIMARY SUPPLIERS)</t>
  </si>
  <si>
    <r>
      <rPr>
        <rFont val="Consolas"/>
        <b/>
        <color rgb="FF000000"/>
        <sz val="11.0"/>
      </rPr>
      <t>Wiring</t>
    </r>
    <r>
      <rPr>
        <rFont val="Consolas"/>
        <b/>
        <color rgb="FF000000"/>
        <sz val="11.0"/>
      </rPr>
      <t xml:space="preserve"> (meters)</t>
    </r>
  </si>
  <si>
    <r>
      <rPr>
        <rFont val="Consolas"/>
        <b/>
        <color rgb="FF000000"/>
        <sz val="11.0"/>
      </rPr>
      <t>Pellets</t>
    </r>
    <r>
      <rPr>
        <rFont val="Consolas"/>
        <b/>
        <color rgb="FF000000"/>
        <sz val="11.0"/>
      </rPr>
      <t xml:space="preserve"> (lbs)</t>
    </r>
  </si>
  <si>
    <t>YEAR 3 RAW MATERIAL INVENTORY (PRIMARY SUPPLIERS)</t>
  </si>
  <si>
    <r>
      <rPr>
        <rFont val="Consolas"/>
        <b/>
        <color rgb="FF000000"/>
        <sz val="11.0"/>
      </rPr>
      <t>Wiring</t>
    </r>
    <r>
      <rPr>
        <rFont val="Consolas"/>
        <b/>
        <color rgb="FF000000"/>
        <sz val="11.0"/>
      </rPr>
      <t xml:space="preserve"> (meters)</t>
    </r>
  </si>
  <si>
    <r>
      <rPr>
        <rFont val="Consolas"/>
        <b/>
        <color rgb="FF000000"/>
        <sz val="11.0"/>
      </rPr>
      <t>Pellets</t>
    </r>
    <r>
      <rPr>
        <rFont val="Consolas"/>
        <b/>
        <color rgb="FF000000"/>
        <sz val="11.0"/>
      </rPr>
      <t xml:space="preserve"> (lbs)</t>
    </r>
  </si>
  <si>
    <t>YEAR 4 RAW MATERIAL INVENTORY (PRIMARY SUPPLIERS)</t>
  </si>
  <si>
    <r>
      <rPr>
        <rFont val="Consolas"/>
        <b/>
        <color rgb="FF000000"/>
        <sz val="11.0"/>
      </rPr>
      <t>Wiring</t>
    </r>
    <r>
      <rPr>
        <rFont val="Consolas"/>
        <b/>
        <color rgb="FF000000"/>
        <sz val="11.0"/>
      </rPr>
      <t xml:space="preserve"> (meters)</t>
    </r>
  </si>
  <si>
    <r>
      <rPr>
        <rFont val="Consolas"/>
        <b/>
        <color rgb="FF000000"/>
        <sz val="11.0"/>
      </rPr>
      <t>Pellets</t>
    </r>
    <r>
      <rPr>
        <rFont val="Consolas"/>
        <b/>
        <color rgb="FF000000"/>
        <sz val="11.0"/>
      </rPr>
      <t xml:space="preserve"> (lbs)</t>
    </r>
  </si>
  <si>
    <t>YEAR 5 RAW MATERIAL INVENTORY (PRIMARY SUPPLIERS)</t>
  </si>
  <si>
    <r>
      <rPr>
        <rFont val="Consolas"/>
        <b/>
        <color rgb="FF000000"/>
        <sz val="11.0"/>
      </rPr>
      <t>Wiring</t>
    </r>
    <r>
      <rPr>
        <rFont val="Consolas"/>
        <b/>
        <color rgb="FF000000"/>
        <sz val="11.0"/>
      </rPr>
      <t xml:space="preserve"> (meters)</t>
    </r>
  </si>
  <si>
    <r>
      <rPr>
        <rFont val="Consolas"/>
        <b/>
        <color rgb="FF000000"/>
        <sz val="11.0"/>
      </rPr>
      <t>Pellets</t>
    </r>
    <r>
      <rPr>
        <rFont val="Consolas"/>
        <b/>
        <color rgb="FF000000"/>
        <sz val="11.0"/>
      </rPr>
      <t xml:space="preserve"> (lbs)</t>
    </r>
  </si>
  <si>
    <t xml:space="preserve">DIRECT LABOR EXPENSES (YEARS 1-5) </t>
  </si>
  <si>
    <t>AVAILABLE TIME (Hours)</t>
  </si>
  <si>
    <t>YEARLY DEMAND</t>
  </si>
  <si>
    <t xml:space="preserve">TAKT TIME (SECONDS) </t>
  </si>
  <si>
    <t xml:space="preserve">CYCLE TIME </t>
  </si>
  <si>
    <t>TOTAL WORKERS</t>
  </si>
  <si>
    <t>LABOR RATE</t>
  </si>
  <si>
    <t xml:space="preserve">BENEFIT COST </t>
  </si>
  <si>
    <t>TOTAL DIRECT LABOR COSTS</t>
  </si>
  <si>
    <t xml:space="preserve">DIRECT MATERIALS EXPENSES (YEARS 1-5) </t>
  </si>
  <si>
    <t>ORDER QUANTITY ANALYSIS</t>
  </si>
  <si>
    <t xml:space="preserve">BILL OF MATERIALS (YEAR 1) </t>
  </si>
  <si>
    <t>ACTUAL ORDER QUANTITY SPEND</t>
  </si>
  <si>
    <t xml:space="preserve">COMPONENT </t>
  </si>
  <si>
    <t xml:space="preserve">COST PER UNIT (OQ &lt;1K UNITS) </t>
  </si>
  <si>
    <t xml:space="preserve">COST PER UNIT (OQ 1k-10K UNITS ) </t>
  </si>
  <si>
    <t xml:space="preserve">COST PER UNIT (10K+ UNITS) </t>
  </si>
  <si>
    <t xml:space="preserve">ORDERS PER YEAR </t>
  </si>
  <si>
    <t>EOQ SPEND</t>
  </si>
  <si>
    <t>TELESCOPING POLE</t>
  </si>
  <si>
    <t>CHINA</t>
  </si>
  <si>
    <t xml:space="preserve">ACTUAL ORDER QUANTITY </t>
  </si>
  <si>
    <t>SAFETY FLAG</t>
  </si>
  <si>
    <t>EOQ</t>
  </si>
  <si>
    <t>BIKE MOUNT</t>
  </si>
  <si>
    <t xml:space="preserve">ORDER QUANTITY </t>
  </si>
  <si>
    <t>SPEAKER</t>
  </si>
  <si>
    <t xml:space="preserve">BATTERY PACK </t>
  </si>
  <si>
    <t>ATTACHABLE SPOKE MAGNET</t>
  </si>
  <si>
    <t>WIRING</t>
  </si>
  <si>
    <t>LIGHT</t>
  </si>
  <si>
    <t>ORDER QUANTITY SPEND</t>
  </si>
  <si>
    <t>ASSEMBLY SCREWS</t>
  </si>
  <si>
    <t>HULL MAGNETIC SENSOR</t>
  </si>
  <si>
    <t>MALAYSIA</t>
  </si>
  <si>
    <t>PELLETS</t>
  </si>
  <si>
    <t>CUSTOM SHELLS</t>
  </si>
  <si>
    <t>TOTAL DM COST PER UNIT</t>
  </si>
  <si>
    <t>SHIPPING COST PER UNIT</t>
  </si>
  <si>
    <t xml:space="preserve">BILL OF MATERIALS (YEAR 2) </t>
  </si>
  <si>
    <t xml:space="preserve">BILL OF MATERIALS (YEAR 3) </t>
  </si>
  <si>
    <t xml:space="preserve">BILL OF MATERIALS (YEAR 4) </t>
  </si>
  <si>
    <t xml:space="preserve">BILL OF MATERIALS (YEAR 5) </t>
  </si>
  <si>
    <t>DM Cost/Unit Sensitivity</t>
  </si>
  <si>
    <t xml:space="preserve">INVENTORY VALUE (UNIT QUANTITY) </t>
  </si>
  <si>
    <t>YEAR 1 INVENTORY</t>
  </si>
  <si>
    <t>RM</t>
  </si>
  <si>
    <t>WIP</t>
  </si>
  <si>
    <t>FG</t>
  </si>
  <si>
    <t xml:space="preserve">TOTAL INVENTORY </t>
  </si>
  <si>
    <t>DEMAND (UNITS)</t>
  </si>
  <si>
    <t xml:space="preserve">AVERAGE CYCLE STOCK </t>
  </si>
  <si>
    <t xml:space="preserve">AVERAGE SAFETY STOCK </t>
  </si>
  <si>
    <t>YEAR 2 INVENTORY</t>
  </si>
  <si>
    <t>TOTAL INVENTORY</t>
  </si>
  <si>
    <t xml:space="preserve">DEMAND (UNITS) </t>
  </si>
  <si>
    <t>AVERAGE CYCLE STOCK</t>
  </si>
  <si>
    <t>AVERAGE SAFETY STOCK</t>
  </si>
  <si>
    <t>YEAR 3 INVENTORY</t>
  </si>
  <si>
    <t xml:space="preserve">YEAR 4 INVENTORY </t>
  </si>
  <si>
    <t>Average Cycle Stock</t>
  </si>
  <si>
    <t>Average Safety Stock</t>
  </si>
  <si>
    <t xml:space="preserve">YEAR 5 INVENTORY </t>
  </si>
  <si>
    <t xml:space="preserve">INVENTORY VALUE (USD $) </t>
  </si>
  <si>
    <t>DM COST PER UNIT</t>
  </si>
  <si>
    <t>AVERAGE</t>
  </si>
  <si>
    <t>COGS PER UNIT</t>
  </si>
  <si>
    <t>COGS PER WEEK</t>
  </si>
  <si>
    <t>YEAR 1 INVENTORY AS WEEKS OF SUPPLY</t>
  </si>
  <si>
    <t>YEAR 2 INVENTORY AS WEEKS OF SUPPLY</t>
  </si>
  <si>
    <t>YEAR 3 INVENTORY AS WEEKS OF SUPPLY</t>
  </si>
  <si>
    <t>YEAR 4 INVENTORY AS WEEKS OF SUPPLY</t>
  </si>
  <si>
    <t>YEAR 5 INVENTORY AS WEEKS OF SUPPLY</t>
  </si>
  <si>
    <t xml:space="preserve">SERVICE LEVEL </t>
  </si>
  <si>
    <t xml:space="preserve">SPECIFICATION </t>
  </si>
  <si>
    <t>MANUFACTURER'S SALES</t>
  </si>
  <si>
    <t>MANUFACTURER'S PRICE</t>
  </si>
  <si>
    <t>CONTRIBUTION MARGIN</t>
  </si>
  <si>
    <t>SHORTAGE COST</t>
  </si>
  <si>
    <t>ANNUAL HOLDING COST RATE</t>
  </si>
  <si>
    <t xml:space="preserve">EXCESS COST </t>
  </si>
  <si>
    <t xml:space="preserve">ACTUAL SERVICE LEVEL </t>
  </si>
  <si>
    <t>Z-SCORE</t>
  </si>
  <si>
    <t xml:space="preserve">TARGET SERVICE LEVEL </t>
  </si>
  <si>
    <t xml:space="preserve">ACTUAL &gt; TARGET? </t>
  </si>
  <si>
    <t>MAX STORAGE NEED INCLUDING SAFETY STOCK</t>
  </si>
  <si>
    <t>PCS NEEDED PER UNIT</t>
  </si>
  <si>
    <t>MAX RM INV ON HAND</t>
  </si>
  <si>
    <t>SPACE PER UNIT (FT^3)</t>
  </si>
  <si>
    <t>Total Cubic Feet</t>
  </si>
  <si>
    <r>
      <rPr>
        <rFont val="Consolas"/>
        <b/>
        <color rgb="FF1155CC"/>
        <sz val="11.0"/>
        <u/>
      </rPr>
      <t>Wiring</t>
    </r>
    <r>
      <rPr>
        <rFont val="Consolas"/>
        <b/>
        <color rgb="FF000000"/>
        <sz val="11.0"/>
        <u/>
      </rPr>
      <t xml:space="preserve"> (meters)</t>
    </r>
  </si>
  <si>
    <r>
      <rPr>
        <rFont val="Consolas"/>
        <b/>
        <color rgb="FF1155CC"/>
        <sz val="11.0"/>
        <u/>
      </rPr>
      <t>Pellets</t>
    </r>
    <r>
      <rPr>
        <rFont val="Consolas"/>
        <b/>
        <color rgb="FF000000"/>
        <sz val="11.0"/>
        <u/>
      </rPr>
      <t xml:space="preserve"> (lbs)</t>
    </r>
  </si>
  <si>
    <t>MAX RM STORAGE NEED</t>
  </si>
  <si>
    <t>MAX FG ON HAND</t>
  </si>
  <si>
    <t>FG UNIT (FT^3)</t>
  </si>
  <si>
    <t>MAX STORAGE NEED</t>
  </si>
  <si>
    <t>MAX CAPACITY</t>
  </si>
  <si>
    <t>ENOUGH?</t>
  </si>
  <si>
    <t>DEMAND AND LEAD TIME</t>
  </si>
  <si>
    <t>DEMAND VARIABILITY</t>
  </si>
  <si>
    <t>OPTIMISTIC</t>
  </si>
  <si>
    <t xml:space="preserve">MOST LIKELY </t>
  </si>
  <si>
    <t>PESSIMISTIC</t>
  </si>
  <si>
    <t>DEMAND</t>
  </si>
  <si>
    <t>STANDARD DEVIATION</t>
  </si>
  <si>
    <t>WEEKLY MEAN</t>
  </si>
  <si>
    <t>WEEKLY STANDARD DEVIATION</t>
  </si>
  <si>
    <t>LEAD TIME VARIABILITY</t>
  </si>
  <si>
    <t>MAXIMUM LEAD TIME</t>
  </si>
  <si>
    <t>BASE LEAD TIME</t>
  </si>
  <si>
    <t xml:space="preserve">MINIMUM LEAD TIME </t>
  </si>
  <si>
    <t>LEAD TIME (PRIMARY SUPPLIERS)</t>
  </si>
  <si>
    <t>AVERAGE LEAD TIME</t>
  </si>
  <si>
    <t>GENERAL &amp; ADMINISTRATIVE EXPENSES</t>
  </si>
  <si>
    <t>FIRM EMPLOYEES (YEAR 1)</t>
  </si>
  <si>
    <t>https://www.bls.gov/oes/2023/may/oes_tx.htm</t>
  </si>
  <si>
    <t>FUNCTION</t>
  </si>
  <si>
    <t xml:space="preserve">ROLE </t>
  </si>
  <si>
    <t># OF EMPLOYEES</t>
  </si>
  <si>
    <t>TOTAL SALARY</t>
  </si>
  <si>
    <t>SALARY PER EMPLOYEE</t>
  </si>
  <si>
    <t>HOURS WORKED</t>
  </si>
  <si>
    <t>HOURLY WAGE</t>
  </si>
  <si>
    <t xml:space="preserve">LEGEND </t>
  </si>
  <si>
    <t>Chief Executive Officer</t>
  </si>
  <si>
    <t>EXECUTIVE</t>
  </si>
  <si>
    <t>Chief Financial Officer</t>
  </si>
  <si>
    <t>Logistics &amp; Purchasing  Manager</t>
  </si>
  <si>
    <t>Operations Manager</t>
  </si>
  <si>
    <t xml:space="preserve">Mechanical Engineer </t>
  </si>
  <si>
    <t>ANALYTICS</t>
  </si>
  <si>
    <t>Information Systems Manager</t>
  </si>
  <si>
    <t xml:space="preserve">Janitor </t>
  </si>
  <si>
    <t xml:space="preserve">Customer Service Representative </t>
  </si>
  <si>
    <t xml:space="preserve">Public Relations </t>
  </si>
  <si>
    <t>Social Media Manager</t>
  </si>
  <si>
    <t>Accountant</t>
  </si>
  <si>
    <t>Inspector and Tester</t>
  </si>
  <si>
    <t>Total C-Suite</t>
  </si>
  <si>
    <t>Total Employees</t>
  </si>
  <si>
    <t>TOTAL G&amp;A YEAR 1</t>
  </si>
  <si>
    <t>Total Managers</t>
  </si>
  <si>
    <t>Total Direct Workers</t>
  </si>
  <si>
    <t>FIRM EMPLOYEES (YEAR 2)</t>
  </si>
  <si>
    <t>TOTAL G&amp;A YEAR 2</t>
  </si>
  <si>
    <t>Total General Workers</t>
  </si>
  <si>
    <t xml:space="preserve">FIRM EMPLOYEES (YEAR 3) </t>
  </si>
  <si>
    <t>Chief Operating Officer</t>
  </si>
  <si>
    <t xml:space="preserve">IT Specialist </t>
  </si>
  <si>
    <t>Data Analyst</t>
  </si>
  <si>
    <t>TOTAL G&amp;A YEAR 3</t>
  </si>
  <si>
    <t xml:space="preserve">FIRM EMPLOYEES (YEAR 4) </t>
  </si>
  <si>
    <t>Human Resources Manager</t>
  </si>
  <si>
    <t>TOTAL G&amp;A YEAR 4</t>
  </si>
  <si>
    <t xml:space="preserve">FIRM EMPLOYEES (YEAR 5) </t>
  </si>
  <si>
    <t>Chief Marketing Officer</t>
  </si>
  <si>
    <t>Computer Programmer</t>
  </si>
  <si>
    <t>TOTAL G&amp;A YEAR 5</t>
  </si>
  <si>
    <t xml:space="preserve">OM PROCESS FLOW (YEARS 1-5) </t>
  </si>
  <si>
    <t xml:space="preserve">TASK </t>
  </si>
  <si>
    <t xml:space="preserve">TIME (SECONDS) </t>
  </si>
  <si>
    <t>WORKSTATIONS</t>
  </si>
  <si>
    <t>WORKERS PER WORKSTATION</t>
  </si>
  <si>
    <t>WORKSTATION TIME (SEC)</t>
  </si>
  <si>
    <t>EXCEEDS TAKT TIME?</t>
  </si>
  <si>
    <t>INJECTION MOLDING</t>
  </si>
  <si>
    <t xml:space="preserve">TAKT TIME </t>
  </si>
  <si>
    <t xml:space="preserve">ELECTRONIC ASSEMBLY </t>
  </si>
  <si>
    <t>WORKSTATION 1</t>
  </si>
  <si>
    <t>ELECTRONIC INSTALLATION</t>
  </si>
  <si>
    <t>WORKSTATION 2</t>
  </si>
  <si>
    <t xml:space="preserve">FLAG ASSEMBLY </t>
  </si>
  <si>
    <t>WORKSTATION 3</t>
  </si>
  <si>
    <t>SECURING CHASSIS</t>
  </si>
  <si>
    <t># OF WORKSTATIONS</t>
  </si>
  <si>
    <t>WORKSTATION 4</t>
  </si>
  <si>
    <t xml:space="preserve">QUALITY CHECK </t>
  </si>
  <si>
    <t>WORKSTATION 5</t>
  </si>
  <si>
    <t>PACKAGING WITH SHELLS</t>
  </si>
  <si>
    <t>WORKSTATION 6</t>
  </si>
  <si>
    <t xml:space="preserve">THROUGHPUT TIME </t>
  </si>
  <si>
    <t>EFFICIENCY</t>
  </si>
  <si>
    <t>WORKSTATION 7</t>
  </si>
  <si>
    <t>CYCLE TIME</t>
  </si>
  <si>
    <t xml:space="preserve">TOTAL </t>
  </si>
  <si>
    <t>YEAR 1 PROCESS LAYOUT</t>
  </si>
  <si>
    <t>YEAR 2 PROCESS LAYOUT</t>
  </si>
  <si>
    <t>YEAR 3 PROCESS FLOW LAYOUT</t>
  </si>
  <si>
    <t>YEAR 4 PROCESS FLOW LAYOUT</t>
  </si>
  <si>
    <t>YEAR 5 PROCESS FLOW LAYOUT</t>
  </si>
  <si>
    <t xml:space="preserve">CAPACITY ANALYSIS </t>
  </si>
  <si>
    <t>CAPACITY UTILIZATION</t>
  </si>
  <si>
    <t xml:space="preserve">WORKERS PER TASK </t>
  </si>
  <si>
    <t xml:space="preserve">CAPACITY UTILIZATION </t>
  </si>
  <si>
    <t>AVAILABLE TIME</t>
  </si>
  <si>
    <t>MAXIMUM CAPACITY</t>
  </si>
  <si>
    <t>DEMAND UTILIZATION</t>
  </si>
  <si>
    <t xml:space="preserve">AVERAGE CAPACITY UTILIZATION </t>
  </si>
  <si>
    <t xml:space="preserve">MANFACTURING OVERHEAD (YEARS 1-5) </t>
  </si>
  <si>
    <t xml:space="preserve">TOTAL OVERHEAD PER YEAR </t>
  </si>
  <si>
    <t>OVERHEAD EXPENSE</t>
  </si>
  <si>
    <t xml:space="preserve">MANUFACTURING SPACE (SQFT) </t>
  </si>
  <si>
    <t xml:space="preserve">PRICE PER SQFT PER YEAR </t>
  </si>
  <si>
    <t>TOTAL MANUFACTURING RENT</t>
  </si>
  <si>
    <t>TOTAL ELECTRICITY COST</t>
  </si>
  <si>
    <t>TOTAL WATER COST</t>
  </si>
  <si>
    <t>TOTAL UTILITIES COST</t>
  </si>
  <si>
    <t>TOTAL UTILITIES COST PER UNIT</t>
  </si>
  <si>
    <t xml:space="preserve">INDIRECT MATERIALS </t>
  </si>
  <si>
    <t>MANUFACTURING OVERHEAD PER UNIT</t>
  </si>
  <si>
    <t>TOTAL MANUFACTURING OVERHEAD</t>
  </si>
  <si>
    <t xml:space="preserve">ELECTRICITY </t>
  </si>
  <si>
    <t xml:space="preserve">COST PER KWH </t>
  </si>
  <si>
    <t xml:space="preserve">TOTAL ELECTRICITY USE (KWH) </t>
  </si>
  <si>
    <t>KWH USE PER SQFT</t>
  </si>
  <si>
    <t>WATER</t>
  </si>
  <si>
    <t>UTILITY EXPENSE</t>
  </si>
  <si>
    <t>COST PER GALLON</t>
  </si>
  <si>
    <t>GALLONS USED PER SQT</t>
  </si>
  <si>
    <t>TOTAL GALLONS USED</t>
  </si>
  <si>
    <t xml:space="preserve">LOCATION ANALYSIS </t>
  </si>
  <si>
    <t xml:space="preserve">8800 SOUTH FREEWAY, FORT WORTH, TX 76140 </t>
  </si>
  <si>
    <t xml:space="preserve">WAREHOUSE SPECIFICATION </t>
  </si>
  <si>
    <t xml:space="preserve">TOTAL WAREHOUSE SIZE (SQFT) </t>
  </si>
  <si>
    <t>MANUFACTURING SPACE PER YEAR</t>
  </si>
  <si>
    <t>OFFICE SPACE</t>
  </si>
  <si>
    <t>COST PER SQFT PER MONTH</t>
  </si>
  <si>
    <t>COST PER SQFT PER YEAR</t>
  </si>
  <si>
    <t xml:space="preserve">TOTAL MANUFACTURING RENT PER YEAR </t>
  </si>
  <si>
    <t>TOTAL OFFICE RENT PER YEAR</t>
  </si>
  <si>
    <t xml:space="preserve">Rent Sensitivity </t>
  </si>
  <si>
    <t>TOTAL RENT PER YEAR</t>
  </si>
  <si>
    <t xml:space="preserve">CENTER OF GRAVITY ANALYSIS </t>
  </si>
  <si>
    <t>Locations</t>
  </si>
  <si>
    <t>X</t>
  </si>
  <si>
    <t>Y</t>
  </si>
  <si>
    <t>Revenue %</t>
  </si>
  <si>
    <t>Year 1 Sales</t>
  </si>
  <si>
    <t>Demand At Location</t>
  </si>
  <si>
    <t>OOH Advertising Locations</t>
  </si>
  <si>
    <t>California (SF)</t>
  </si>
  <si>
    <t>New york city</t>
  </si>
  <si>
    <t>Minnesota (Minneapolis)</t>
  </si>
  <si>
    <t>Maryland (DC)</t>
  </si>
  <si>
    <t>Massachusetts (Boston)</t>
  </si>
  <si>
    <t>Austin, TX</t>
  </si>
  <si>
    <t>Chicago, IL</t>
  </si>
  <si>
    <t>Denver, CO</t>
  </si>
  <si>
    <t>Philadelphia, PA</t>
  </si>
  <si>
    <t>Los Angeles, CA</t>
  </si>
  <si>
    <t>OOH Center of Gravity</t>
  </si>
  <si>
    <t>Distribution Locations</t>
  </si>
  <si>
    <t>Mass Merchants</t>
  </si>
  <si>
    <t>Walmart: Indiana</t>
  </si>
  <si>
    <t xml:space="preserve">Target: Georgia </t>
  </si>
  <si>
    <t>Mass Merchants Center of Gravity</t>
  </si>
  <si>
    <t>Chains</t>
  </si>
  <si>
    <t>REI: Tennessee</t>
  </si>
  <si>
    <t>TREK: Wisconscin</t>
  </si>
  <si>
    <t>Scheels: Minnesota</t>
  </si>
  <si>
    <t>Chains Center of Gravity</t>
  </si>
  <si>
    <t>Bicycle Habitat: NYC</t>
  </si>
  <si>
    <t>Wheelworks: Cali</t>
  </si>
  <si>
    <t>Kozy: Illinois</t>
  </si>
  <si>
    <t>Bike Boom: MA</t>
  </si>
  <si>
    <t>Montlake Bike Shop: WA</t>
  </si>
  <si>
    <t>Independent Center of Gravity</t>
  </si>
  <si>
    <t>Amazon: CA</t>
  </si>
  <si>
    <t>Online Center of Gravity</t>
  </si>
  <si>
    <t>Distribution Center of Gravity</t>
  </si>
  <si>
    <t>Highest Biking Revenue Locations</t>
  </si>
  <si>
    <t>Florida</t>
  </si>
  <si>
    <t>California</t>
  </si>
  <si>
    <t>Texas</t>
  </si>
  <si>
    <t>Ohio</t>
  </si>
  <si>
    <t>New York</t>
  </si>
  <si>
    <t>Biking Revenue Center of Gravity</t>
  </si>
  <si>
    <t>Location</t>
  </si>
  <si>
    <t>Chosen Location</t>
  </si>
  <si>
    <t>Cumulative Center of Gravity</t>
  </si>
  <si>
    <t>Fort Smith, AR</t>
  </si>
  <si>
    <t>Fort Worth, TX</t>
  </si>
  <si>
    <t>SHIPPING COSTS</t>
  </si>
  <si>
    <t>FREIGHT/TRANSPORTATION COST</t>
  </si>
  <si>
    <t>TOTAL OUTBOUND TRANSPORTATION COST</t>
  </si>
  <si>
    <t>TOTAL INBOUND TRANSPORTATION COST</t>
  </si>
  <si>
    <t>TOTAL TRANSPORTATION COST</t>
  </si>
  <si>
    <t>FREIGHT/TRANSPORTATION COST YEAR 1</t>
  </si>
  <si>
    <t>CHANNEL</t>
  </si>
  <si>
    <t>% OF UNITS (ACV)</t>
  </si>
  <si>
    <t>TOTAL UNITS TO CHANNEL</t>
  </si>
  <si>
    <t>PALLETIZED?</t>
  </si>
  <si>
    <t># OF PALLETS</t>
  </si>
  <si>
    <t>COST PER PALLET</t>
  </si>
  <si>
    <t>TOTAL OUTBOUND</t>
  </si>
  <si>
    <t>AMAZON</t>
  </si>
  <si>
    <t>YES</t>
  </si>
  <si>
    <t>INDEPENDENT</t>
  </si>
  <si>
    <t>NO</t>
  </si>
  <si>
    <t>CHAINS</t>
  </si>
  <si>
    <t>MASS MERCHANTS</t>
  </si>
  <si>
    <t>FREIGHT/TRANSPORTATION COST YEAR 2</t>
  </si>
  <si>
    <t>FREIGHT/TRANSPORTATION COST YEAR 3</t>
  </si>
  <si>
    <t>FREIGHT/TRANSPORTATION COST YEAR 4</t>
  </si>
  <si>
    <t>FREIGHT/TRANSPORTATION COST YEAR 5</t>
  </si>
  <si>
    <t>OM STARTUP COSTS (YEAR 0)</t>
  </si>
  <si>
    <t>PRODUCT DEVELOPMENT</t>
  </si>
  <si>
    <t>SPECIFICATION</t>
  </si>
  <si>
    <t>AMOUNT OF EXPENSE</t>
  </si>
  <si>
    <t>COST OF PROTOTYPES</t>
  </si>
  <si>
    <t xml:space="preserve">COST OF RESEARCH </t>
  </si>
  <si>
    <t xml:space="preserve">COST OF DEVELOPMENT </t>
  </si>
  <si>
    <t>COST OF TESTING</t>
  </si>
  <si>
    <t xml:space="preserve">QUALITY CONTROL </t>
  </si>
  <si>
    <t>PATENTS</t>
  </si>
  <si>
    <t>TOTAL COST OF DEVELOPMENT</t>
  </si>
  <si>
    <t>FACILITY BUILD-OUT COSTS</t>
  </si>
  <si>
    <t>RENTAL FACILITY SQFT</t>
  </si>
  <si>
    <t>5200</t>
  </si>
  <si>
    <t>SERVICE COST PER SQFT</t>
  </si>
  <si>
    <t>TOTAL BUILD-OUT COST</t>
  </si>
  <si>
    <t>YEAR 0 WAREHOUSE EXPENSE</t>
  </si>
  <si>
    <t>TOTAL INBOUND SHIPPING COST</t>
  </si>
  <si>
    <t>TOTAL OFFICE RENT</t>
  </si>
  <si>
    <t>TOTAL WAREHOUSE EXPENSE</t>
  </si>
  <si>
    <t xml:space="preserve">YEAR 0 NET WORKING CAPITAL </t>
  </si>
  <si>
    <t>COST OF RAW MATERIALS</t>
  </si>
  <si>
    <t>COST OF WORK IN PROCESS</t>
  </si>
  <si>
    <t>COST OF FINISHED GOODS</t>
  </si>
  <si>
    <t>TOTAL YEAR 0 NWC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</si>
</sst>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_(* #,##0.00_);_(* \(#,##0.00\);_(* &quot;-&quot;??_);_(@_)"/>
    <numFmt numFmtId="165" formatCode="_(* #,##0_);_(* \(#,##0\);_(* &quot;-&quot;??_);_(@_)"/>
    <numFmt numFmtId="166" formatCode="_([$$-409]* #,##0.00_);_([$$-409]* \(#,##0.00\);_([$$-409]* &quot;-&quot;??_);_(@_)"/>
    <numFmt numFmtId="167" formatCode="&quot;$&quot;#,##0.00"/>
    <numFmt numFmtId="168" formatCode="_(* #,##0.0_);_(* \(#,##0.0\);_(* &quot;-&quot;??_);_(@_)"/>
    <numFmt numFmtId="169" formatCode="#,##0.0"/>
    <numFmt numFmtId="170" formatCode="0.0"/>
    <numFmt numFmtId="171" formatCode="_(&quot;$&quot;* #,##0.00_);_(&quot;$&quot;* \(#,##0.00\);_(&quot;$&quot;* &quot;-&quot;??_);_(@_)"/>
    <numFmt numFmtId="172" formatCode="0.0%"/>
    <numFmt numFmtId="173" formatCode="_(* #,##0.00_);_(* \(#,##0.00\);_(* &quot;-&quot;??.00_);_(@_)"/>
    <numFmt numFmtId="174" formatCode="&quot;$&quot;#,##0"/>
    <numFmt numFmtId="175" formatCode="#,##0.000"/>
    <numFmt numFmtId="176" formatCode="_(* #,##0.0_);_(* \(#,##0.0\);_(* &quot;-&quot;??.0_);_(@_)"/>
    <numFmt numFmtId="177" formatCode="&quot;$&quot;#,##0.00000"/>
    <numFmt numFmtId="178" formatCode="0.000"/>
    <numFmt numFmtId="179" formatCode="&quot;$&quot;#,##0_);[Red]\(&quot;$&quot;#,##0\)"/>
    <numFmt numFmtId="180" formatCode="#,##0.0000000000000"/>
    <numFmt numFmtId="181" formatCode="&quot;$&quot;#,##0.0"/>
    <numFmt numFmtId="182" formatCode="0.0000000000"/>
    <numFmt numFmtId="183" formatCode="#,##0.0000"/>
    <numFmt numFmtId="184" formatCode="0.0000"/>
  </numFmts>
  <fonts count="81">
    <font>
      <sz val="11.0"/>
      <color theme="1"/>
      <name val="Aptos Narrow"/>
      <scheme val="minor"/>
    </font>
    <font>
      <b/>
      <sz val="12.0"/>
      <color theme="1"/>
      <name val="Consolas"/>
    </font>
    <font/>
    <font>
      <b/>
      <sz val="12.0"/>
      <color rgb="FFFFFFFF"/>
      <name val="Consolas"/>
    </font>
    <font>
      <b/>
      <sz val="12.0"/>
      <color rgb="FF000000"/>
      <name val="Consolas"/>
    </font>
    <font>
      <b/>
      <u/>
      <sz val="11.0"/>
      <color rgb="FF467886"/>
      <name val="Arial"/>
    </font>
    <font>
      <b/>
      <u/>
      <sz val="11.0"/>
      <color rgb="FF0000FF"/>
      <name val="Arial"/>
    </font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  <font>
      <sz val="11.0"/>
      <color theme="1"/>
      <name val="Consolas"/>
    </font>
    <font>
      <b/>
      <sz val="11.0"/>
      <color theme="1"/>
      <name val="Consolas"/>
    </font>
    <font>
      <sz val="10.0"/>
      <color theme="1"/>
      <name val="Consolas"/>
    </font>
    <font>
      <b/>
      <sz val="11.0"/>
      <color rgb="FFFFFFFF"/>
      <name val="Consolas"/>
    </font>
    <font>
      <b/>
      <sz val="12.0"/>
      <color theme="1"/>
      <name val="Arial"/>
    </font>
    <font>
      <b/>
      <u/>
      <sz val="11.0"/>
      <color theme="1"/>
      <name val="Consolas"/>
    </font>
    <font>
      <i/>
      <sz val="11.0"/>
      <color theme="1"/>
      <name val="Consolas"/>
    </font>
    <font>
      <b/>
      <u/>
      <sz val="11.0"/>
      <color theme="1"/>
      <name val="Consolas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strike/>
      <sz val="10.0"/>
      <color theme="1"/>
      <name val="Arial"/>
    </font>
    <font>
      <sz val="11.0"/>
      <color rgb="FFFFFFFF"/>
      <name val="Consolas"/>
    </font>
    <font>
      <u/>
      <sz val="10.0"/>
      <color rgb="FF0000FF"/>
      <name val="Arial"/>
    </font>
    <font>
      <sz val="13.0"/>
      <color rgb="FFFFFFFF"/>
      <name val="Consolas"/>
    </font>
    <font>
      <b/>
      <sz val="13.0"/>
      <color rgb="FFFFFFFF"/>
      <name val="Consolas"/>
    </font>
    <font>
      <u/>
      <sz val="10.0"/>
      <color rgb="FF0000FF"/>
      <name val="Arial"/>
    </font>
    <font>
      <b/>
      <sz val="11.0"/>
      <color theme="1"/>
      <name val="Arial"/>
    </font>
    <font>
      <sz val="11.0"/>
      <color rgb="FF0000FF"/>
      <name val="Arial"/>
    </font>
    <font>
      <strike/>
      <color theme="1"/>
      <name val="Aptos Narrow"/>
      <scheme val="minor"/>
    </font>
    <font>
      <sz val="12.0"/>
      <color theme="1"/>
      <name val="Aptos Narrow"/>
    </font>
    <font>
      <sz val="12.0"/>
      <color rgb="FF000000"/>
      <name val="Aptos Narrow"/>
    </font>
    <font>
      <color theme="1"/>
      <name val="Arial"/>
    </font>
    <font>
      <b/>
      <sz val="11.0"/>
      <color rgb="FF000000"/>
      <name val="Consolas"/>
    </font>
    <font>
      <b/>
      <sz val="11.0"/>
      <color rgb="FF000000"/>
      <name val="Calibri"/>
    </font>
    <font>
      <sz val="10.0"/>
      <color rgb="FF000000"/>
      <name val="Aptos Narrow"/>
    </font>
    <font>
      <b/>
      <sz val="10.0"/>
      <color theme="1"/>
      <name val="Aptos Narrow"/>
    </font>
    <font>
      <b/>
      <sz val="10.0"/>
      <color rgb="FF000000"/>
      <name val="Arial"/>
    </font>
    <font>
      <sz val="10.0"/>
      <color theme="1"/>
      <name val="Aptos Narrow"/>
    </font>
    <font>
      <sz val="10.0"/>
      <color rgb="FF000000"/>
      <name val="Arial"/>
    </font>
    <font>
      <b/>
      <u/>
      <sz val="10.0"/>
      <color rgb="FF0000FF"/>
      <name val="Arial"/>
    </font>
    <font>
      <u/>
      <sz val="12.0"/>
      <color theme="1"/>
      <name val="Arial"/>
    </font>
    <font>
      <b/>
      <sz val="12.0"/>
      <color theme="1"/>
      <name val="Aptos Narrow"/>
    </font>
    <font>
      <b/>
      <i/>
      <sz val="12.0"/>
      <color theme="1"/>
      <name val="Arial"/>
    </font>
    <font>
      <sz val="12.0"/>
      <color theme="1"/>
      <name val="Arial"/>
    </font>
    <font>
      <b/>
      <sz val="12.0"/>
      <color theme="0"/>
      <name val="Consolas"/>
    </font>
    <font>
      <b/>
      <u/>
      <sz val="11.0"/>
      <color rgb="FF0000FF"/>
      <name val="Consolas"/>
    </font>
    <font>
      <b/>
      <u/>
      <sz val="11.0"/>
      <color rgb="FF0000FF"/>
      <name val="Consolas"/>
    </font>
    <font>
      <b/>
      <u/>
      <sz val="11.0"/>
      <color rgb="FF0000FF"/>
      <name val="Consolas"/>
    </font>
    <font>
      <b/>
      <u/>
      <sz val="11.0"/>
      <color rgb="FF467886"/>
      <name val="Consolas"/>
    </font>
    <font>
      <sz val="11.0"/>
      <color theme="10"/>
      <name val="Aptos Narrow"/>
    </font>
    <font>
      <b/>
      <u/>
      <sz val="11.0"/>
      <color rgb="FF0000FF"/>
      <name val="Consolas"/>
    </font>
    <font>
      <u/>
      <sz val="11.0"/>
      <color rgb="FF0000FF"/>
      <name val="Consolas"/>
    </font>
    <font>
      <u/>
      <sz val="11.0"/>
      <color rgb="FF467886"/>
      <name val="Consolas"/>
    </font>
    <font>
      <u/>
      <sz val="11.0"/>
      <color rgb="FF0000FF"/>
      <name val="Consolas"/>
    </font>
    <font>
      <u/>
      <sz val="11.0"/>
      <color rgb="FF0000FF"/>
      <name val="Consolas"/>
    </font>
    <font>
      <u/>
      <sz val="11.0"/>
      <color rgb="FF0000FF"/>
      <name val="Consolas"/>
    </font>
    <font>
      <color theme="1"/>
      <name val="Aptos Narrow"/>
      <scheme val="minor"/>
    </font>
    <font>
      <b/>
      <u/>
      <sz val="11.0"/>
      <color rgb="FF1155CC"/>
      <name val="Consolas"/>
    </font>
    <font>
      <b/>
      <u/>
      <sz val="11.0"/>
      <color rgb="FF1155CC"/>
      <name val="Consolas"/>
    </font>
    <font>
      <b/>
      <u/>
      <sz val="11.0"/>
      <color rgb="FF1155CC"/>
      <name val="Consolas"/>
    </font>
    <font>
      <b/>
      <sz val="11.0"/>
      <color rgb="FF000000"/>
      <name val="Arial"/>
    </font>
    <font>
      <b/>
      <u/>
      <sz val="11.0"/>
      <color rgb="FF0070C0"/>
      <name val="Consolas"/>
    </font>
    <font>
      <b/>
      <u/>
      <sz val="11.0"/>
      <color rgb="FF0070C0"/>
      <name val="Consolas"/>
    </font>
    <font>
      <b/>
      <u/>
      <sz val="11.0"/>
      <color rgb="FF000000"/>
      <name val="Consolas"/>
    </font>
    <font>
      <b/>
      <u/>
      <sz val="11.0"/>
      <color rgb="FF000000"/>
      <name val="Consolas"/>
    </font>
    <font>
      <b/>
      <color theme="1"/>
      <name val="Consolas"/>
    </font>
    <font>
      <color theme="1"/>
      <name val="Consolas"/>
    </font>
    <font>
      <b/>
      <u/>
      <sz val="11.0"/>
      <color rgb="FF1155CC"/>
      <name val="Consolas"/>
    </font>
    <font>
      <b/>
      <u/>
      <sz val="11.0"/>
      <color rgb="FF1155CC"/>
      <name val="Consolas"/>
    </font>
    <font>
      <b/>
      <u/>
      <sz val="11.0"/>
      <color rgb="FF1155CC"/>
      <name val="Consolas"/>
    </font>
    <font>
      <sz val="11.0"/>
      <color rgb="FF000000"/>
      <name val="Consolas"/>
    </font>
    <font>
      <sz val="11.0"/>
      <color rgb="FFFF0000"/>
      <name val="Aptos Narrow"/>
    </font>
    <font>
      <sz val="11.0"/>
      <color rgb="FF0070C0"/>
      <name val="Aptos Narrow"/>
    </font>
    <font>
      <i/>
      <sz val="11.0"/>
      <color theme="1"/>
      <name val="Aptos Narrow"/>
    </font>
    <font>
      <u/>
      <sz val="11.0"/>
      <color rgb="FF467886"/>
      <name val="Arial"/>
    </font>
    <font>
      <b/>
      <u/>
      <sz val="11.0"/>
      <color rgb="FF0000FF"/>
      <name val="Consolas"/>
    </font>
  </fonts>
  <fills count="53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274E13"/>
        <bgColor rgb="FF274E13"/>
      </patternFill>
    </fill>
    <fill>
      <patternFill patternType="solid">
        <fgColor rgb="FFFFC000"/>
        <bgColor rgb="FFFFC000"/>
      </patternFill>
    </fill>
    <fill>
      <patternFill patternType="solid">
        <fgColor rgb="FF9900FF"/>
        <bgColor rgb="FF9900FF"/>
      </patternFill>
    </fill>
    <fill>
      <patternFill patternType="solid">
        <fgColor rgb="FFF1A983"/>
        <bgColor rgb="FFF1A983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E97132"/>
        <bgColor rgb="FFE97132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rgb="FFFAE2D5"/>
        <bgColor rgb="FFFAE2D5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  <fill>
      <patternFill patternType="solid">
        <fgColor rgb="FF3F3F3F"/>
        <bgColor rgb="FF3F3F3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EA3323"/>
        <bgColor rgb="FFEA3323"/>
      </patternFill>
    </fill>
    <fill>
      <patternFill patternType="solid">
        <fgColor rgb="FFFF0000"/>
        <bgColor rgb="FFFF0000"/>
      </patternFill>
    </fill>
    <fill>
      <patternFill patternType="solid">
        <fgColor rgb="FFE5A24E"/>
        <bgColor rgb="FFE5A24E"/>
      </patternFill>
    </fill>
    <fill>
      <patternFill patternType="solid">
        <fgColor rgb="FFFFFF00"/>
        <bgColor rgb="FFFFFF00"/>
      </patternFill>
    </fill>
    <fill>
      <patternFill patternType="solid">
        <fgColor rgb="FFFFFF54"/>
        <bgColor rgb="FFFFFF54"/>
      </patternFill>
    </fill>
    <fill>
      <patternFill patternType="solid">
        <fgColor rgb="FF4A86E8"/>
        <bgColor rgb="FF4A86E8"/>
      </patternFill>
    </fill>
    <fill>
      <patternFill patternType="solid">
        <fgColor rgb="FF4EAD5B"/>
        <bgColor rgb="FF4EAD5B"/>
      </patternFill>
    </fill>
    <fill>
      <patternFill patternType="solid">
        <fgColor rgb="FFB7B7B7"/>
        <bgColor rgb="FFB7B7B7"/>
      </patternFill>
    </fill>
    <fill>
      <patternFill patternType="solid">
        <fgColor rgb="FFEA33F7"/>
        <bgColor rgb="FFEA33F7"/>
      </patternFill>
    </fill>
    <fill>
      <patternFill patternType="solid">
        <fgColor rgb="FF06B050"/>
        <bgColor rgb="FF06B050"/>
      </patternFill>
    </fill>
    <fill>
      <patternFill patternType="solid">
        <fgColor rgb="FF4A84E8"/>
        <bgColor rgb="FF4A84E8"/>
      </patternFill>
    </fill>
    <fill>
      <patternFill patternType="solid">
        <fgColor rgb="FFF19E38"/>
        <bgColor rgb="FFF19E38"/>
      </patternFill>
    </fill>
    <fill>
      <patternFill patternType="solid">
        <fgColor rgb="FF4A83E8"/>
        <bgColor rgb="FF4A83E8"/>
      </patternFill>
    </fill>
    <fill>
      <patternFill patternType="solid">
        <fgColor theme="9"/>
        <bgColor theme="9"/>
      </patternFill>
    </fill>
    <fill>
      <patternFill patternType="solid">
        <fgColor rgb="FFFFFF55"/>
        <bgColor rgb="FFFFFF55"/>
      </patternFill>
    </fill>
    <fill>
      <patternFill patternType="solid">
        <fgColor rgb="FF4A85E8"/>
        <bgColor rgb="FF4A85E8"/>
      </patternFill>
    </fill>
    <fill>
      <patternFill patternType="solid">
        <fgColor rgb="FF00FF00"/>
        <bgColor rgb="FF00FF00"/>
      </patternFill>
    </fill>
    <fill>
      <patternFill patternType="solid">
        <fgColor rgb="FFEEF7E3"/>
        <bgColor rgb="FFEEF7E3"/>
      </patternFill>
    </fill>
    <fill>
      <patternFill patternType="solid">
        <fgColor rgb="FF93C47D"/>
        <bgColor rgb="FF93C47D"/>
      </patternFill>
    </fill>
  </fills>
  <borders count="28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ck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000000"/>
      </bottom>
    </border>
    <border>
      <left/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E97132"/>
      </bottom>
    </border>
    <border>
      <top style="thick">
        <color rgb="FF000000"/>
      </top>
      <bottom style="thick">
        <color rgb="FFE97132"/>
      </bottom>
    </border>
    <border>
      <right style="thick">
        <color rgb="FFE97132"/>
      </right>
      <top style="thick">
        <color rgb="FF000000"/>
      </top>
      <bottom style="thick">
        <color rgb="FFE97132"/>
      </bottom>
    </border>
    <border>
      <left style="thick">
        <color rgb="FFE97132"/>
      </left>
      <top style="thick">
        <color rgb="FF000000"/>
      </top>
      <bottom style="thick">
        <color rgb="FFE97132"/>
      </bottom>
    </border>
    <border>
      <left style="thick">
        <color rgb="FFE97132"/>
      </left>
      <right style="thick">
        <color rgb="FFE97132"/>
      </right>
      <top style="thick">
        <color rgb="FF000000"/>
      </top>
      <bottom style="thick">
        <color rgb="FFE97132"/>
      </bottom>
    </border>
    <border>
      <right style="thick">
        <color rgb="FF000000"/>
      </right>
      <top style="thick">
        <color rgb="FF000000"/>
      </top>
      <bottom style="thick">
        <color rgb="FFE97132"/>
      </bottom>
    </border>
    <border>
      <left style="thick">
        <color rgb="FF000000"/>
      </left>
      <right style="thick">
        <color rgb="FFF1A983"/>
      </right>
      <top/>
      <bottom style="thick">
        <color rgb="FFF1A983"/>
      </bottom>
    </border>
    <border>
      <left style="thick">
        <color rgb="FFF1A983"/>
      </left>
      <right style="thick">
        <color rgb="FFF1A983"/>
      </right>
      <top/>
      <bottom style="thick">
        <color rgb="FFF1A983"/>
      </bottom>
    </border>
    <border>
      <left style="thick">
        <color rgb="FFF1A983"/>
      </left>
      <right style="thick">
        <color rgb="FF000000"/>
      </right>
      <top/>
      <bottom style="thick">
        <color rgb="FFF1A983"/>
      </bottom>
    </border>
    <border>
      <left style="thick">
        <color rgb="FF000000"/>
      </left>
      <right style="medium">
        <color rgb="FFD0D0D0"/>
      </right>
      <top/>
      <bottom style="medium">
        <color rgb="FFD0D0D0"/>
      </bottom>
    </border>
    <border>
      <left style="medium">
        <color rgb="FFD0D0D0"/>
      </left>
      <right style="medium">
        <color rgb="FFD0D0D0"/>
      </right>
      <top/>
      <bottom style="medium">
        <color rgb="FFD0D0D0"/>
      </bottom>
    </border>
    <border>
      <left style="medium">
        <color rgb="FFD0D0D0"/>
      </left>
      <right style="thick">
        <color rgb="FF000000"/>
      </right>
      <top/>
      <bottom style="medium">
        <color rgb="FFD0D0D0"/>
      </bottom>
    </border>
    <border>
      <left style="thick">
        <color rgb="FF000000"/>
      </left>
      <right style="medium">
        <color rgb="FFD0D0D0"/>
      </right>
      <top style="medium">
        <color rgb="FFD0D0D0"/>
      </top>
      <bottom style="medium">
        <color rgb="FFD0D0D0"/>
      </bottom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</border>
    <border>
      <left style="medium">
        <color rgb="FFD0D0D0"/>
      </left>
      <right style="thick">
        <color rgb="FF000000"/>
      </right>
      <top style="medium">
        <color rgb="FFD0D0D0"/>
      </top>
      <bottom style="medium">
        <color rgb="FFD0D0D0"/>
      </bottom>
    </border>
    <border>
      <left style="thick">
        <color rgb="FF000000"/>
      </left>
      <right style="medium">
        <color rgb="FFD0D0D0"/>
      </right>
      <top style="medium">
        <color rgb="FFD0D0D0"/>
      </top>
      <bottom/>
    </border>
    <border>
      <left style="medium">
        <color rgb="FFD0D0D0"/>
      </left>
      <right style="medium">
        <color rgb="FFD0D0D0"/>
      </right>
      <top style="medium">
        <color rgb="FFD0D0D0"/>
      </top>
      <bottom/>
    </border>
    <border>
      <left style="medium">
        <color rgb="FFD0D0D0"/>
      </left>
      <right style="thick">
        <color rgb="FF000000"/>
      </right>
      <top style="medium">
        <color rgb="FFD0D0D0"/>
      </top>
      <bottom/>
    </border>
    <border>
      <left style="thick">
        <color rgb="FF000000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thick">
        <color rgb="FF000000"/>
      </right>
      <top style="medium">
        <color rgb="FF434343"/>
      </top>
      <bottom style="medium">
        <color rgb="FF434343"/>
      </bottom>
    </border>
    <border>
      <left style="thick">
        <color rgb="FF000000"/>
      </left>
      <right style="medium">
        <color rgb="FF434343"/>
      </right>
      <top style="medium">
        <color rgb="FF434343"/>
      </top>
      <bottom style="thick">
        <color rgb="FF000000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thick">
        <color rgb="FF000000"/>
      </bottom>
    </border>
    <border>
      <left style="medium">
        <color rgb="FF434343"/>
      </left>
      <right style="thick">
        <color rgb="FF000000"/>
      </right>
      <top style="medium">
        <color rgb="FF434343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F1A983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D0D0D0"/>
      </bottom>
    </border>
    <border>
      <left style="thick">
        <color rgb="FF000000"/>
      </left>
      <right/>
      <top/>
      <bottom style="thick">
        <color rgb="FFF1A983"/>
      </bottom>
    </border>
    <border>
      <left style="thick">
        <color rgb="FF000000"/>
      </left>
      <right style="thick">
        <color rgb="FF000000"/>
      </right>
      <top style="medium">
        <color rgb="FFD0D0D0"/>
      </top>
      <bottom style="medium">
        <color rgb="FFD0D0D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434343"/>
      </top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F2F2F2"/>
      </right>
      <top style="medium">
        <color rgb="FFF2F2F2"/>
      </top>
      <bottom style="medium">
        <color rgb="FFF2F2F2"/>
      </bottom>
    </border>
    <border>
      <left style="medium">
        <color rgb="FFF2F2F2"/>
      </left>
      <right style="medium">
        <color rgb="FF000000"/>
      </right>
      <top style="medium">
        <color rgb="FFF2F2F2"/>
      </top>
      <bottom style="medium">
        <color rgb="FFF2F2F2"/>
      </bottom>
    </border>
    <border>
      <left style="medium">
        <color rgb="FF000000"/>
      </left>
      <right style="medium">
        <color rgb="FFF2F2F2"/>
      </right>
      <top style="medium">
        <color rgb="FF000000"/>
      </top>
      <bottom style="medium">
        <color rgb="FFF2F2F2"/>
      </bottom>
    </border>
    <border>
      <left style="medium">
        <color rgb="FFF2F2F2"/>
      </left>
      <right style="medium">
        <color rgb="FF000000"/>
      </right>
      <top style="medium">
        <color rgb="FF000000"/>
      </top>
      <bottom style="medium">
        <color rgb="FFF2F2F2"/>
      </bottom>
    </border>
    <border>
      <left style="medium">
        <color rgb="FF000000"/>
      </left>
      <right style="medium">
        <color rgb="FFF2F2F2"/>
      </right>
      <top style="medium">
        <color rgb="FFF2F2F2"/>
      </top>
      <bottom style="medium">
        <color rgb="FF000000"/>
      </bottom>
    </border>
    <border>
      <left style="medium">
        <color rgb="FFF2F2F2"/>
      </left>
      <right style="medium">
        <color rgb="FF000000"/>
      </right>
      <top style="medium">
        <color rgb="FFF2F2F2"/>
      </top>
      <bottom style="medium">
        <color rgb="FF000000"/>
      </bottom>
    </border>
    <border>
      <left style="medium">
        <color rgb="FF000000"/>
      </left>
      <right style="medium">
        <color rgb="FFF2F2F2"/>
      </right>
      <top style="medium">
        <color rgb="FFF2F2F2"/>
      </top>
      <bottom/>
    </border>
    <border>
      <left style="medium">
        <color rgb="FFF2F2F2"/>
      </left>
      <right style="medium">
        <color rgb="FF000000"/>
      </right>
      <top style="medium">
        <color rgb="FFF2F2F2"/>
      </top>
      <bottom/>
    </border>
    <border>
      <left/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right/>
      <bottom/>
    </border>
    <border>
      <left style="medium">
        <color rgb="FF000000"/>
      </left>
      <right style="thin">
        <color rgb="FFF2F2F2"/>
      </right>
      <top style="medium">
        <color rgb="FFF2F2F2"/>
      </top>
      <bottom style="medium">
        <color rgb="FF000000"/>
      </bottom>
    </border>
    <border>
      <left style="thin">
        <color rgb="FFF2F2F2"/>
      </left>
      <right style="thin">
        <color rgb="FFF2F2F2"/>
      </right>
      <top style="medium">
        <color rgb="FFF2F2F2"/>
      </top>
      <bottom style="medium">
        <color rgb="FF000000"/>
      </bottom>
    </border>
    <border>
      <left style="thin">
        <color rgb="FFF2F2F2"/>
      </left>
      <right style="medium">
        <color rgb="FF000000"/>
      </right>
      <top style="medium">
        <color rgb="FFF2F2F2"/>
      </top>
      <bottom style="medium">
        <color rgb="FF000000"/>
      </bottom>
    </border>
    <border>
      <left style="medium">
        <color rgb="FF000000"/>
      </left>
      <right style="medium">
        <color rgb="FFEFEFEF"/>
      </right>
      <top style="medium">
        <color rgb="FF000000"/>
      </top>
      <bottom style="medium">
        <color rgb="FFEFEFEF"/>
      </bottom>
    </border>
    <border>
      <left style="medium">
        <color rgb="FFEFEFEF"/>
      </left>
      <right style="medium">
        <color rgb="FF000000"/>
      </right>
      <top style="medium">
        <color rgb="FF000000"/>
      </top>
      <bottom style="medium">
        <color rgb="FFEFEFEF"/>
      </bottom>
    </border>
    <border>
      <left style="medium">
        <color rgb="FF000000"/>
      </left>
      <right style="thin">
        <color rgb="FFEFEFEF"/>
      </right>
      <top/>
      <bottom style="thin">
        <color rgb="FFEFEFEF"/>
      </bottom>
    </border>
    <border>
      <left style="thin">
        <color rgb="FFEFEFEF"/>
      </left>
      <right style="thin">
        <color rgb="FFEFEFEF"/>
      </right>
      <top/>
      <bottom style="thin">
        <color rgb="FFEFEFEF"/>
      </bottom>
    </border>
    <border>
      <left style="thin">
        <color rgb="FFEFEFEF"/>
      </left>
      <right style="medium">
        <color rgb="FF000000"/>
      </right>
      <top/>
      <bottom style="thin">
        <color rgb="FFEFEFEF"/>
      </bottom>
    </border>
    <border>
      <left style="medium">
        <color rgb="FF000000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000000"/>
      </right>
      <top style="medium">
        <color rgb="FFEFEFEF"/>
      </top>
      <bottom style="medium">
        <color rgb="FFEFEFEF"/>
      </bottom>
    </border>
    <border>
      <left style="medium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medium">
        <color rgb="FF000000"/>
      </right>
      <top style="thin">
        <color rgb="FFEFEFEF"/>
      </top>
      <bottom style="thin">
        <color rgb="FFEFEFEF"/>
      </bottom>
    </border>
    <border>
      <left style="medium">
        <color rgb="FF000000"/>
      </left>
      <right style="medium">
        <color rgb="FFEFEFEF"/>
      </right>
      <top style="medium">
        <color rgb="FFEFEFEF"/>
      </top>
      <bottom/>
    </border>
    <border>
      <left style="medium">
        <color rgb="FFEFEFEF"/>
      </left>
      <right style="medium">
        <color rgb="FF000000"/>
      </right>
      <top style="medium">
        <color rgb="FFEFEFEF"/>
      </top>
      <bottom/>
    </border>
    <border>
      <left style="medium">
        <color rgb="FF000000"/>
      </left>
      <right style="thin">
        <color rgb="FFEFEFEF"/>
      </right>
      <top style="thin">
        <color rgb="FFEFEFEF"/>
      </top>
      <bottom/>
    </border>
    <border>
      <left style="thin">
        <color rgb="FFEFEFEF"/>
      </left>
      <right style="thin">
        <color rgb="FFEFEFEF"/>
      </right>
      <top style="thin">
        <color rgb="FFEFEFEF"/>
      </top>
      <bottom/>
    </border>
    <border>
      <left style="thin">
        <color rgb="FFEFEFEF"/>
      </left>
      <right style="medium">
        <color rgb="FF000000"/>
      </right>
      <top style="thin">
        <color rgb="FFEFEFEF"/>
      </top>
      <bottom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/>
    </border>
    <border>
      <left style="medium">
        <color rgb="FF000000"/>
      </left>
      <right style="medium">
        <color rgb="FFEFEFEF"/>
      </right>
      <top style="medium">
        <color rgb="FFEFEFEF"/>
      </top>
      <bottom style="medium">
        <color rgb="FF000000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000000"/>
      </bottom>
    </border>
    <border>
      <left style="medium">
        <color rgb="FFEFEFEF"/>
      </left>
      <right style="medium">
        <color rgb="FF000000"/>
      </right>
      <top style="medium">
        <color rgb="FFEFEFEF"/>
      </top>
      <bottom style="medium">
        <color rgb="FF000000"/>
      </bottom>
    </border>
    <border>
      <left style="medium">
        <color rgb="FF000000"/>
      </left>
      <right style="thin">
        <color rgb="FFEFEFEF"/>
      </right>
      <top style="thin">
        <color rgb="FFEFEFEF"/>
      </top>
      <bottom style="medium">
        <color rgb="FF000000"/>
      </bottom>
    </border>
    <border>
      <left style="thin">
        <color rgb="FFEFEFEF"/>
      </left>
      <right style="medium">
        <color rgb="FF000000"/>
      </right>
      <top style="thin">
        <color rgb="FFEFEFEF"/>
      </top>
      <bottom style="medium">
        <color rgb="FF000000"/>
      </bottom>
    </border>
    <border>
      <left style="medium">
        <color rgb="FF000000"/>
      </left>
      <right style="medium">
        <color rgb="FFEFEFEF"/>
      </right>
      <top/>
      <bottom style="medium">
        <color rgb="FFEFEFEF"/>
      </bottom>
    </border>
    <border>
      <left style="medium">
        <color rgb="FFEFEFEF"/>
      </left>
      <right style="medium">
        <color rgb="FFEFEFEF"/>
      </right>
      <top/>
      <bottom style="medium">
        <color rgb="FFEFEFEF"/>
      </bottom>
    </border>
    <border>
      <left style="medium">
        <color rgb="FFEFEFEF"/>
      </left>
      <right style="medium">
        <color rgb="FF000000"/>
      </right>
      <top/>
      <bottom style="medium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000000"/>
      </bottom>
    </border>
    <border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left/>
      <right/>
      <top style="medium">
        <color rgb="FFF2F2F2"/>
      </top>
      <bottom style="medium">
        <color rgb="FF000000"/>
      </bottom>
    </border>
    <border>
      <left style="medium">
        <color rgb="FF000000"/>
      </left>
      <right style="thin">
        <color rgb="FFEFEFEF"/>
      </right>
      <top style="medium">
        <color rgb="FF000000"/>
      </top>
      <bottom style="thin">
        <color rgb="FFEFEFEF"/>
      </bottom>
    </border>
    <border>
      <right/>
      <top/>
      <bottom/>
    </border>
    <border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EFEFEF"/>
      </bottom>
    </border>
    <border>
      <left style="thin">
        <color rgb="FFEFEFEF"/>
      </left>
      <right/>
      <top/>
      <bottom style="thin">
        <color rgb="FFEFEFEF"/>
      </bottom>
    </border>
    <border>
      <left/>
      <right/>
      <top/>
      <bottom style="medium">
        <color rgb="FFEFEFEF"/>
      </bottom>
    </border>
    <border>
      <left style="medium">
        <color rgb="FFEFEFEF"/>
      </left>
      <right/>
      <top/>
      <bottom style="medium">
        <color rgb="FFEFEFEF"/>
      </bottom>
    </border>
    <border>
      <left style="medium">
        <color rgb="FF000000"/>
      </left>
      <right/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/>
      <bottom style="medium">
        <color rgb="FF000000"/>
      </bottom>
    </border>
    <border>
      <left style="medium">
        <color rgb="FFEFEFEF"/>
      </left>
      <right/>
      <top/>
      <bottom style="medium">
        <color rgb="FF000000"/>
      </bottom>
    </border>
    <border>
      <left style="medium">
        <color rgb="FF000000"/>
      </left>
      <right style="medium">
        <color rgb="FFE97132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/>
    </border>
    <border>
      <left/>
      <right/>
    </border>
    <border>
      <left/>
      <right style="medium">
        <color rgb="FF000000"/>
      </right>
    </border>
    <border>
      <left style="thin">
        <color rgb="FFF2F2F2"/>
      </left>
      <right style="thin">
        <color rgb="FFF2F2F2"/>
      </right>
      <top style="medium">
        <color rgb="FF000000"/>
      </top>
      <bottom style="thin">
        <color rgb="FFF2F2F2"/>
      </bottom>
    </border>
    <border>
      <left style="thin">
        <color rgb="FFF2F2F2"/>
      </left>
      <right style="medium">
        <color rgb="FF000000"/>
      </right>
      <top style="medium">
        <color rgb="FF000000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medium">
        <color rgb="FF000000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medium">
        <color rgb="FF000000"/>
      </bottom>
    </border>
    <border>
      <left style="thin">
        <color rgb="FFF2F2F2"/>
      </left>
      <right style="medium">
        <color rgb="FF000000"/>
      </right>
      <top style="thin">
        <color rgb="FFF2F2F2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EFEFEF"/>
      </left>
      <bottom style="medium">
        <color rgb="FFEFEFEF"/>
      </bottom>
    </border>
    <border>
      <left style="medium">
        <color rgb="FFEFEFEF"/>
      </left>
      <top style="medium">
        <color rgb="FFEFEFEF"/>
      </top>
      <bottom style="medium">
        <color rgb="FFEFEFEF"/>
      </bottom>
    </border>
    <border>
      <left style="thin">
        <color rgb="FFEFEFEF"/>
      </left>
      <right style="medium">
        <color rgb="FF000000"/>
      </right>
      <top style="medium">
        <color rgb="FF000000"/>
      </top>
      <bottom style="thin">
        <color rgb="FFEFEFEF"/>
      </bottom>
    </border>
    <border>
      <left style="medium">
        <color rgb="FF000000"/>
      </left>
      <right style="medium">
        <color rgb="FFEFEFEF"/>
      </right>
      <top/>
      <bottom/>
    </border>
    <border>
      <left style="medium">
        <color rgb="FFEFEFEF"/>
      </left>
      <right style="medium">
        <color rgb="FF000000"/>
      </right>
      <top/>
      <bottom/>
    </border>
    <border>
      <left style="medium">
        <color rgb="FFEFEFEF"/>
      </left>
      <right style="medium">
        <color rgb="FFEFEFEF"/>
      </right>
      <top style="medium">
        <color rgb="FF000000"/>
      </top>
      <bottom style="medium">
        <color rgb="FFEFEFEF"/>
      </bottom>
    </border>
    <border>
      <left/>
      <right style="medium">
        <color rgb="FFEFEFEF"/>
      </right>
      <top style="medium">
        <color rgb="FF000000"/>
      </top>
      <bottom style="medium">
        <color rgb="FFEFEFEF"/>
      </bottom>
    </border>
    <border>
      <left/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000000"/>
      </left>
      <right/>
      <top style="medium">
        <color rgb="FFEFEFEF"/>
      </top>
      <bottom style="medium">
        <color rgb="FF000000"/>
      </bottom>
    </border>
    <border>
      <left/>
      <right style="medium">
        <color rgb="FFEFEFEF"/>
      </right>
      <top style="medium">
        <color rgb="FFEFEFEF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EFEFEF"/>
      </top>
      <bottom style="thin">
        <color rgb="FFEFEFEF"/>
      </bottom>
    </border>
    <border>
      <left/>
      <right style="medium">
        <color rgb="FF000000"/>
      </right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right style="medium">
        <color rgb="FF000000"/>
      </right>
      <top style="medium">
        <color rgb="FFD9D9D9"/>
      </top>
      <bottom style="medium">
        <color rgb="FFD9D9D9"/>
      </bottom>
    </border>
    <border>
      <left style="medium">
        <color rgb="FF000000"/>
      </left>
      <right style="medium">
        <color rgb="FFD9D9D9"/>
      </right>
      <top style="medium">
        <color rgb="FFD9D9D9"/>
      </top>
      <bottom style="medium">
        <color rgb="FF000000"/>
      </bottom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000000"/>
      </bottom>
    </border>
    <border>
      <left style="medium">
        <color rgb="FFD9D9D9"/>
      </left>
      <right style="medium">
        <color rgb="FF000000"/>
      </right>
      <top style="medium">
        <color rgb="FFD9D9D9"/>
      </top>
      <bottom style="medium">
        <color rgb="FF000000"/>
      </bottom>
    </border>
    <border>
      <left style="thick">
        <color rgb="FF000000"/>
      </left>
      <right style="thick">
        <color rgb="FFD8D8D8"/>
      </right>
      <top style="thick">
        <color rgb="FF000000"/>
      </top>
      <bottom style="thick">
        <color rgb="FFD8D8D8"/>
      </bottom>
    </border>
    <border>
      <left style="thick">
        <color rgb="FFD8D8D8"/>
      </left>
      <right style="thick">
        <color rgb="FFD8D8D8"/>
      </right>
      <top style="thick">
        <color rgb="FF000000"/>
      </top>
      <bottom style="thick">
        <color rgb="FFD8D8D8"/>
      </bottom>
    </border>
    <border>
      <left style="thick">
        <color rgb="FFD8D8D8"/>
      </left>
      <right style="thick">
        <color rgb="FF000000"/>
      </right>
      <top style="thick">
        <color rgb="FF000000"/>
      </top>
      <bottom style="thick">
        <color rgb="FFD8D8D8"/>
      </bottom>
    </border>
    <border>
      <left style="thick">
        <color rgb="FF000000"/>
      </left>
      <right style="thick">
        <color rgb="FFD8D8D8"/>
      </right>
      <top style="thick">
        <color rgb="FFD8D8D8"/>
      </top>
      <bottom style="thick">
        <color rgb="FFD8D8D8"/>
      </bottom>
    </border>
    <border>
      <left style="thick">
        <color rgb="FFD8D8D8"/>
      </left>
      <right style="thick">
        <color rgb="FFD8D8D8"/>
      </right>
      <top style="thick">
        <color rgb="FFD8D8D8"/>
      </top>
      <bottom style="thick">
        <color rgb="FFD8D8D8"/>
      </bottom>
    </border>
    <border>
      <left style="thick">
        <color rgb="FFD8D8D8"/>
      </left>
      <right style="thick">
        <color rgb="FF000000"/>
      </right>
      <top style="thick">
        <color rgb="FFD8D8D8"/>
      </top>
      <bottom style="thick">
        <color rgb="FFD8D8D8"/>
      </bottom>
    </border>
    <border>
      <left style="thick">
        <color rgb="FF000000"/>
      </left>
      <right style="thick">
        <color rgb="FFD8D8D8"/>
      </right>
      <top style="thick">
        <color rgb="FFD8D8D8"/>
      </top>
      <bottom style="thick">
        <color rgb="FF000000"/>
      </bottom>
    </border>
    <border>
      <left style="thick">
        <color rgb="FFD8D8D8"/>
      </left>
      <right style="thick">
        <color rgb="FFD8D8D8"/>
      </right>
      <top style="thick">
        <color rgb="FFD8D8D8"/>
      </top>
      <bottom style="thick">
        <color rgb="FF000000"/>
      </bottom>
    </border>
    <border>
      <left style="thick">
        <color rgb="FFD8D8D8"/>
      </left>
      <right style="thick">
        <color rgb="FF000000"/>
      </right>
      <top style="thick">
        <color rgb="FFD8D8D8"/>
      </top>
      <bottom style="thick">
        <color rgb="FF000000"/>
      </bottom>
    </border>
    <border>
      <left style="thick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</border>
    <border>
      <left style="thick">
        <color rgb="FF000000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F1A983"/>
      </right>
      <top style="medium">
        <color rgb="FFF1A983"/>
      </top>
      <bottom style="medium">
        <color rgb="FFF1A983"/>
      </bottom>
    </border>
    <border>
      <left style="medium">
        <color rgb="FFF1A983"/>
      </left>
      <right style="medium">
        <color rgb="FFF1A983"/>
      </right>
      <top style="medium">
        <color rgb="FFF1A983"/>
      </top>
      <bottom style="medium">
        <color rgb="FFF1A983"/>
      </bottom>
    </border>
    <border>
      <left style="medium">
        <color rgb="FFF1A983"/>
      </left>
      <right style="medium">
        <color rgb="FFF1A983"/>
      </right>
      <top style="medium">
        <color rgb="FF000000"/>
      </top>
      <bottom style="medium">
        <color rgb="FFF1A983"/>
      </bottom>
    </border>
    <border>
      <left style="medium">
        <color rgb="FFF1A983"/>
      </left>
      <right style="medium">
        <color rgb="FFF1A983"/>
      </right>
      <top style="medium">
        <color rgb="FF000000"/>
      </top>
      <bottom/>
    </border>
    <border>
      <left style="medium">
        <color rgb="FFF1A983"/>
      </left>
      <right style="medium">
        <color rgb="FF000000"/>
      </right>
      <top style="medium">
        <color rgb="FF000000"/>
      </top>
      <bottom style="medium">
        <color rgb="FFF1A983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/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/>
      <top/>
      <bottom style="thin">
        <color rgb="FFD9D9D9"/>
      </bottom>
    </border>
    <border>
      <left/>
      <right style="medium">
        <color rgb="FF000000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right style="medium">
        <color rgb="FF000000"/>
      </right>
      <top style="thin">
        <color rgb="FFD9D9D9"/>
      </top>
      <bottom/>
    </border>
    <border>
      <left style="medium">
        <color rgb="FF000000"/>
      </left>
      <right style="medium">
        <color rgb="FFF1A983"/>
      </right>
      <top style="medium">
        <color rgb="FF000000"/>
      </top>
      <bottom style="medium">
        <color rgb="FF000000"/>
      </bottom>
    </border>
    <border>
      <left style="medium">
        <color rgb="FFF1A983"/>
      </left>
      <right style="medium">
        <color rgb="FFF1A983"/>
      </right>
      <top style="medium">
        <color rgb="FF000000"/>
      </top>
      <bottom style="medium">
        <color rgb="FF000000"/>
      </bottom>
    </border>
    <border>
      <left style="medium">
        <color rgb="FFF1A98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/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medium">
        <color rgb="FFEEF7E3"/>
      </right>
      <top style="thin">
        <color rgb="FFEEF7E3"/>
      </top>
      <bottom/>
    </border>
    <border>
      <left style="medium">
        <color rgb="FFEEF7E3"/>
      </left>
      <right style="medium">
        <color rgb="FFEEF7E3"/>
      </right>
      <top/>
      <bottom/>
    </border>
    <border>
      <left style="medium">
        <color rgb="FFEEF7E3"/>
      </left>
      <right/>
      <top/>
      <bottom/>
    </border>
    <border>
      <left style="medium">
        <color rgb="FF000000"/>
      </left>
      <right style="medium">
        <color rgb="FFEEF7E3"/>
      </right>
      <top/>
      <bottom/>
    </border>
    <border>
      <left style="medium">
        <color rgb="FFEEF7E3"/>
      </left>
      <right style="medium">
        <color rgb="FFEEF7E3"/>
      </right>
      <top style="medium">
        <color rgb="FFD9D9D9"/>
      </top>
      <bottom style="medium">
        <color rgb="FFD9D9D9"/>
      </bottom>
    </border>
    <border>
      <left style="medium">
        <color rgb="FFEEF7E3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EEF7E3"/>
      </left>
      <right style="medium">
        <color rgb="FFEEF7E3"/>
      </right>
      <top/>
      <bottom style="medium">
        <color rgb="FFD9D9D9"/>
      </bottom>
    </border>
    <border>
      <left style="medium">
        <color rgb="FFEEF7E3"/>
      </left>
      <right style="medium">
        <color rgb="FFD9D9D9"/>
      </right>
      <top/>
      <bottom style="medium">
        <color rgb="FFD9D9D9"/>
      </bottom>
    </border>
    <border>
      <left style="medium">
        <color rgb="FF000000"/>
      </left>
      <right style="medium">
        <color rgb="FFD9D9D9"/>
      </right>
      <top style="medium">
        <color rgb="FFD9D9D9"/>
      </top>
      <bottom/>
    </border>
    <border>
      <left style="medium">
        <color rgb="FFD9D9D9"/>
      </left>
      <right style="medium">
        <color rgb="FFD9D9D9"/>
      </right>
      <top style="medium">
        <color rgb="FFD9D9D9"/>
      </top>
      <bottom/>
    </border>
    <border>
      <left style="medium">
        <color rgb="FFD9D9D9"/>
      </left>
      <right style="medium">
        <color rgb="FF000000"/>
      </right>
      <top style="medium">
        <color rgb="FFD9D9D9"/>
      </top>
      <bottom/>
    </border>
    <border>
      <left/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000000"/>
      </left>
      <right style="medium">
        <color rgb="FFD9D9D9"/>
      </right>
      <top/>
      <bottom style="medium">
        <color rgb="FFD9D9D9"/>
      </bottom>
    </border>
    <border>
      <left style="medium">
        <color rgb="FFD9D9D9"/>
      </left>
      <right style="medium">
        <color rgb="FFD9D9D9"/>
      </right>
      <top/>
      <bottom style="medium">
        <color rgb="FFD9D9D9"/>
      </bottom>
    </border>
    <border>
      <left/>
      <right style="medium">
        <color rgb="FFD9D9D9"/>
      </right>
      <top style="medium">
        <color rgb="FFD9D9D9"/>
      </top>
      <bottom/>
    </border>
    <border>
      <left style="medium">
        <color rgb="FF000000"/>
      </left>
      <right style="medium">
        <color rgb="FFD8D8D8"/>
      </right>
      <top style="medium">
        <color rgb="FF000000"/>
      </top>
      <bottom style="medium">
        <color rgb="FFD8D8D8"/>
      </bottom>
    </border>
    <border>
      <left style="medium">
        <color rgb="FFD8D8D8"/>
      </left>
      <right style="medium">
        <color rgb="FFD8D8D8"/>
      </right>
      <top style="medium">
        <color rgb="FF000000"/>
      </top>
      <bottom style="medium">
        <color rgb="FFD8D8D8"/>
      </bottom>
    </border>
    <border>
      <left style="medium">
        <color rgb="FFD8D8D8"/>
      </left>
      <right style="medium">
        <color rgb="FF000000"/>
      </right>
      <top style="medium">
        <color rgb="FF000000"/>
      </top>
      <bottom style="medium">
        <color rgb="FFD8D8D8"/>
      </bottom>
    </border>
    <border>
      <left style="medium">
        <color rgb="FF000000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medium">
        <color rgb="FF000000"/>
      </right>
      <top style="medium">
        <color rgb="FFD8D8D8"/>
      </top>
      <bottom style="medium">
        <color rgb="FFD8D8D8"/>
      </bottom>
    </border>
    <border>
      <left style="medium">
        <color rgb="FF000000"/>
      </left>
      <right style="medium">
        <color rgb="FFD8D8D8"/>
      </right>
      <top style="medium">
        <color rgb="FFD8D8D8"/>
      </top>
      <bottom style="medium">
        <color rgb="FF000000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000000"/>
      </bottom>
    </border>
    <border>
      <left style="medium">
        <color rgb="FFD8D8D8"/>
      </left>
      <right style="medium">
        <color rgb="FF000000"/>
      </right>
      <top style="medium">
        <color rgb="FFD8D8D8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000000"/>
      </left>
      <right style="medium">
        <color rgb="FFD9D9D9"/>
      </right>
      <bottom style="medium">
        <color rgb="FFD9D9D9"/>
      </bottom>
    </border>
    <border>
      <left style="medium">
        <color rgb="FFD9D9D9"/>
      </left>
      <right style="medium">
        <color rgb="FFD9D9D9"/>
      </right>
      <bottom style="medium">
        <color rgb="FFD9D9D9"/>
      </bottom>
    </border>
    <border>
      <left style="medium">
        <color rgb="FFD9D9D9"/>
      </left>
      <right style="medium">
        <color rgb="FF000000"/>
      </right>
      <bottom style="medium">
        <color rgb="FFD9D9D9"/>
      </bottom>
    </border>
    <border>
      <left style="medium">
        <color rgb="FFD9D9D9"/>
      </left>
      <right style="medium">
        <color rgb="FF000000"/>
      </right>
      <top/>
      <bottom style="medium">
        <color rgb="FFD9D9D9"/>
      </bottom>
    </border>
    <border>
      <left style="medium">
        <color rgb="FFD8D8D8"/>
      </left>
      <right/>
      <top style="medium">
        <color rgb="FFD8D8D8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D0D0D0"/>
      </right>
      <top style="thick">
        <color rgb="FF000000"/>
      </top>
      <bottom style="thick">
        <color rgb="FFD0D0D0"/>
      </bottom>
    </border>
    <border>
      <left style="thick">
        <color rgb="FFD0D0D0"/>
      </left>
      <right style="thick">
        <color rgb="FF000000"/>
      </right>
      <top style="thick">
        <color rgb="FF000000"/>
      </top>
      <bottom style="thick">
        <color rgb="FFD0D0D0"/>
      </bottom>
    </border>
    <border>
      <left style="thick">
        <color rgb="FF000000"/>
      </left>
      <right style="thick">
        <color rgb="FFD0D0D0"/>
      </right>
      <top style="thick">
        <color rgb="FFD0D0D0"/>
      </top>
      <bottom style="thick">
        <color rgb="FFD0D0D0"/>
      </bottom>
    </border>
    <border>
      <left style="thick">
        <color rgb="FFD0D0D0"/>
      </left>
      <right style="thick">
        <color rgb="FF000000"/>
      </right>
      <top style="thick">
        <color rgb="FFD0D0D0"/>
      </top>
      <bottom style="thick">
        <color rgb="FFD0D0D0"/>
      </bottom>
    </border>
    <border>
      <left style="thick">
        <color rgb="FF000000"/>
      </left>
      <right style="thick">
        <color rgb="FFD0D0D0"/>
      </right>
      <top style="thick">
        <color rgb="FFD0D0D0"/>
      </top>
      <bottom style="thick">
        <color rgb="FF000000"/>
      </bottom>
    </border>
    <border>
      <left style="thick">
        <color rgb="FFD0D0D0"/>
      </left>
      <right style="thick">
        <color rgb="FF000000"/>
      </right>
      <top style="thick">
        <color rgb="FFD0D0D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D0D0D0"/>
      </right>
      <top style="thick">
        <color rgb="FFD0D0D0"/>
      </top>
      <bottom/>
    </border>
    <border>
      <left style="thick">
        <color rgb="FFD0D0D0"/>
      </left>
      <right style="thick">
        <color rgb="FF000000"/>
      </right>
      <top style="thick">
        <color rgb="FFD0D0D0"/>
      </top>
      <bottom/>
    </border>
    <border>
      <left style="thick">
        <color rgb="FF000000"/>
      </left>
      <right style="thick">
        <color rgb="FFD0D0D0"/>
      </right>
      <top/>
      <bottom/>
    </border>
    <border>
      <left style="thick">
        <color rgb="FFD0D0D0"/>
      </left>
      <right style="thick">
        <color rgb="FF000000"/>
      </right>
      <top/>
      <bottom/>
    </border>
  </borders>
  <cellStyleXfs count="1">
    <xf borderId="0" fillId="0" fontId="0" numFmtId="0" applyAlignment="1" applyFont="1"/>
  </cellStyleXfs>
  <cellXfs count="12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0" fillId="0" fontId="7" numFmtId="0" xfId="0" applyFont="1"/>
    <xf borderId="0" fillId="0" fontId="7" numFmtId="2" xfId="0" applyFont="1" applyNumberFormat="1"/>
    <xf borderId="0" fillId="0" fontId="7" numFmtId="9" xfId="0" applyFont="1" applyNumberFormat="1"/>
    <xf borderId="4" fillId="6" fontId="1" numFmtId="0" xfId="0" applyAlignment="1" applyBorder="1" applyFill="1" applyFont="1">
      <alignment horizontal="center"/>
    </xf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4" fillId="7" fontId="10" numFmtId="164" xfId="0" applyBorder="1" applyFill="1" applyFont="1" applyNumberFormat="1"/>
    <xf borderId="0" fillId="0" fontId="10" numFmtId="164" xfId="0" applyFont="1" applyNumberFormat="1"/>
    <xf borderId="4" fillId="7" fontId="11" numFmtId="164" xfId="0" applyBorder="1" applyFont="1" applyNumberFormat="1"/>
    <xf borderId="0" fillId="0" fontId="7" numFmtId="0" xfId="0" applyAlignment="1" applyFont="1">
      <alignment horizontal="left" shrinkToFit="0" wrapText="1"/>
    </xf>
    <xf borderId="0" fillId="0" fontId="7" numFmtId="164" xfId="0" applyFont="1" applyNumberFormat="1"/>
    <xf borderId="5" fillId="7" fontId="10" numFmtId="164" xfId="0" applyBorder="1" applyFont="1" applyNumberFormat="1"/>
    <xf borderId="0" fillId="0" fontId="8" numFmtId="0" xfId="0" applyAlignment="1" applyFont="1">
      <alignment horizontal="left" shrinkToFit="0" wrapText="1"/>
    </xf>
    <xf borderId="0" fillId="0" fontId="12" numFmtId="164" xfId="0" applyFont="1" applyNumberFormat="1"/>
    <xf borderId="0" fillId="0" fontId="8" numFmtId="0" xfId="0" applyAlignment="1" applyFont="1">
      <alignment horizontal="center"/>
    </xf>
    <xf borderId="4" fillId="8" fontId="13" numFmtId="9" xfId="0" applyAlignment="1" applyBorder="1" applyFill="1" applyFont="1" applyNumberFormat="1">
      <alignment horizontal="left"/>
    </xf>
    <xf borderId="6" fillId="7" fontId="10" numFmtId="165" xfId="0" applyBorder="1" applyFont="1" applyNumberFormat="1"/>
    <xf borderId="4" fillId="7" fontId="10" numFmtId="165" xfId="0" applyBorder="1" applyFont="1" applyNumberFormat="1"/>
    <xf borderId="7" fillId="7" fontId="10" numFmtId="165" xfId="0" applyBorder="1" applyFont="1" applyNumberFormat="1"/>
    <xf borderId="4" fillId="8" fontId="14" numFmtId="9" xfId="0" applyAlignment="1" applyBorder="1" applyFont="1" applyNumberFormat="1">
      <alignment horizontal="left"/>
    </xf>
    <xf borderId="4" fillId="8" fontId="14" numFmtId="1" xfId="0" applyAlignment="1" applyBorder="1" applyFont="1" applyNumberFormat="1">
      <alignment horizontal="left"/>
    </xf>
    <xf borderId="4" fillId="8" fontId="15" numFmtId="9" xfId="0" applyAlignment="1" applyBorder="1" applyFont="1" applyNumberFormat="1">
      <alignment horizontal="left"/>
    </xf>
    <xf borderId="6" fillId="7" fontId="7" numFmtId="166" xfId="0" applyBorder="1" applyFont="1" applyNumberFormat="1"/>
    <xf borderId="4" fillId="7" fontId="7" numFmtId="166" xfId="0" applyBorder="1" applyFont="1" applyNumberFormat="1"/>
    <xf borderId="7" fillId="7" fontId="7" numFmtId="166" xfId="0" applyBorder="1" applyFont="1" applyNumberFormat="1"/>
    <xf borderId="4" fillId="8" fontId="14" numFmtId="166" xfId="0" applyAlignment="1" applyBorder="1" applyFont="1" applyNumberFormat="1">
      <alignment horizontal="left"/>
    </xf>
    <xf borderId="6" fillId="7" fontId="10" numFmtId="167" xfId="0" applyBorder="1" applyFont="1" applyNumberFormat="1"/>
    <xf borderId="4" fillId="7" fontId="10" numFmtId="167" xfId="0" applyBorder="1" applyFont="1" applyNumberFormat="1"/>
    <xf borderId="4" fillId="8" fontId="13" numFmtId="166" xfId="0" applyAlignment="1" applyBorder="1" applyFont="1" applyNumberFormat="1">
      <alignment horizontal="left"/>
    </xf>
    <xf borderId="7" fillId="7" fontId="10" numFmtId="167" xfId="0" applyBorder="1" applyFont="1" applyNumberFormat="1"/>
    <xf borderId="8" fillId="9" fontId="8" numFmtId="0" xfId="0" applyAlignment="1" applyBorder="1" applyFill="1" applyFont="1">
      <alignment horizontal="center"/>
    </xf>
    <xf borderId="8" fillId="10" fontId="7" numFmtId="9" xfId="0" applyAlignment="1" applyBorder="1" applyFill="1" applyFont="1" applyNumberFormat="1">
      <alignment horizontal="center"/>
    </xf>
    <xf borderId="9" fillId="7" fontId="10" numFmtId="167" xfId="0" applyBorder="1" applyFont="1" applyNumberFormat="1"/>
    <xf borderId="10" fillId="8" fontId="13" numFmtId="9" xfId="0" applyAlignment="1" applyBorder="1" applyFont="1" applyNumberFormat="1">
      <alignment horizontal="left"/>
    </xf>
    <xf borderId="4" fillId="6" fontId="1" numFmtId="0" xfId="0" applyAlignment="1" applyBorder="1" applyFont="1">
      <alignment horizontal="center" readingOrder="0"/>
    </xf>
    <xf borderId="4" fillId="7" fontId="12" numFmtId="164" xfId="0" applyBorder="1" applyFont="1" applyNumberFormat="1"/>
    <xf borderId="4" fillId="11" fontId="16" numFmtId="10" xfId="0" applyAlignment="1" applyBorder="1" applyFill="1" applyFont="1" applyNumberFormat="1">
      <alignment horizontal="left"/>
    </xf>
    <xf borderId="4" fillId="8" fontId="14" numFmtId="0" xfId="0" applyAlignment="1" applyBorder="1" applyFont="1">
      <alignment horizontal="left" readingOrder="0"/>
    </xf>
    <xf borderId="0" fillId="0" fontId="8" numFmtId="17" xfId="0" applyAlignment="1" applyFont="1" applyNumberFormat="1">
      <alignment horizontal="center" shrinkToFit="0" wrapText="1"/>
    </xf>
    <xf borderId="0" fillId="0" fontId="7" numFmtId="1" xfId="0" applyFont="1" applyNumberFormat="1"/>
    <xf borderId="0" fillId="0" fontId="7" numFmtId="10" xfId="0" applyFont="1" applyNumberFormat="1"/>
    <xf borderId="11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11" fillId="6" fontId="1" numFmtId="0" xfId="0" applyAlignment="1" applyBorder="1" applyFont="1">
      <alignment horizontal="center"/>
    </xf>
    <xf borderId="12" fillId="6" fontId="1" numFmtId="0" xfId="0" applyAlignment="1" applyBorder="1" applyFont="1">
      <alignment horizontal="center"/>
    </xf>
    <xf borderId="13" fillId="6" fontId="1" numFmtId="0" xfId="0" applyAlignment="1" applyBorder="1" applyFont="1">
      <alignment horizontal="center"/>
    </xf>
    <xf borderId="4" fillId="8" fontId="13" numFmtId="10" xfId="0" applyAlignment="1" applyBorder="1" applyFont="1" applyNumberFormat="1">
      <alignment horizontal="left"/>
    </xf>
    <xf borderId="4" fillId="8" fontId="13" numFmtId="1" xfId="0" applyAlignment="1" applyBorder="1" applyFont="1" applyNumberFormat="1">
      <alignment horizontal="left"/>
    </xf>
    <xf borderId="4" fillId="8" fontId="14" numFmtId="166" xfId="0" applyAlignment="1" applyBorder="1" applyFont="1" applyNumberFormat="1">
      <alignment horizontal="right"/>
    </xf>
    <xf borderId="4" fillId="8" fontId="14" numFmtId="9" xfId="0" applyAlignment="1" applyBorder="1" applyFont="1" applyNumberFormat="1">
      <alignment horizontal="right"/>
    </xf>
    <xf borderId="0" fillId="0" fontId="10" numFmtId="165" xfId="0" applyFont="1" applyNumberFormat="1"/>
    <xf borderId="0" fillId="0" fontId="17" numFmtId="0" xfId="0" applyFont="1"/>
    <xf borderId="4" fillId="8" fontId="13" numFmtId="167" xfId="0" applyAlignment="1" applyBorder="1" applyFont="1" applyNumberFormat="1">
      <alignment horizontal="center"/>
    </xf>
    <xf borderId="4" fillId="8" fontId="13" numFmtId="0" xfId="0" applyAlignment="1" applyBorder="1" applyFont="1">
      <alignment horizontal="left"/>
    </xf>
    <xf borderId="4" fillId="8" fontId="13" numFmtId="166" xfId="0" applyAlignment="1" applyBorder="1" applyFont="1" applyNumberFormat="1">
      <alignment horizontal="center"/>
    </xf>
    <xf borderId="4" fillId="8" fontId="18" numFmtId="9" xfId="0" applyAlignment="1" applyBorder="1" applyFont="1" applyNumberFormat="1">
      <alignment horizontal="left"/>
    </xf>
    <xf borderId="14" fillId="9" fontId="8" numFmtId="0" xfId="0" applyAlignment="1" applyBorder="1" applyFont="1">
      <alignment horizontal="center"/>
    </xf>
    <xf borderId="14" fillId="10" fontId="8" numFmtId="9" xfId="0" applyAlignment="1" applyBorder="1" applyFont="1" applyNumberFormat="1">
      <alignment horizontal="center"/>
    </xf>
    <xf borderId="4" fillId="8" fontId="19" numFmtId="9" xfId="0" applyAlignment="1" applyBorder="1" applyFont="1" applyNumberFormat="1">
      <alignment horizontal="left"/>
    </xf>
    <xf borderId="4" fillId="8" fontId="19" numFmtId="166" xfId="0" applyAlignment="1" applyBorder="1" applyFont="1" applyNumberFormat="1">
      <alignment horizontal="left"/>
    </xf>
    <xf borderId="4" fillId="10" fontId="8" numFmtId="9" xfId="0" applyAlignment="1" applyBorder="1" applyFont="1" applyNumberFormat="1">
      <alignment horizontal="center"/>
    </xf>
    <xf borderId="0" fillId="0" fontId="10" numFmtId="168" xfId="0" applyFont="1" applyNumberFormat="1"/>
    <xf borderId="10" fillId="8" fontId="19" numFmtId="9" xfId="0" applyAlignment="1" applyBorder="1" applyFont="1" applyNumberFormat="1">
      <alignment horizontal="left"/>
    </xf>
    <xf borderId="10" fillId="8" fontId="20" numFmtId="9" xfId="0" applyAlignment="1" applyBorder="1" applyFont="1" applyNumberFormat="1">
      <alignment horizontal="left"/>
    </xf>
    <xf borderId="0" fillId="0" fontId="12" numFmtId="168" xfId="0" applyFont="1" applyNumberFormat="1"/>
    <xf borderId="0" fillId="0" fontId="7" numFmtId="165" xfId="0" applyFont="1" applyNumberFormat="1"/>
    <xf borderId="4" fillId="8" fontId="13" numFmtId="10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0" fillId="0" fontId="7" numFmtId="169" xfId="0" applyFont="1" applyNumberFormat="1"/>
    <xf borderId="0" fillId="0" fontId="21" numFmtId="169" xfId="0" applyAlignment="1" applyFont="1" applyNumberFormat="1">
      <alignment readingOrder="0"/>
    </xf>
    <xf borderId="0" fillId="0" fontId="7" numFmtId="0" xfId="0" applyFont="1"/>
    <xf borderId="0" fillId="0" fontId="22" numFmtId="0" xfId="0" applyAlignment="1" applyFont="1">
      <alignment readingOrder="0"/>
    </xf>
    <xf borderId="0" fillId="0" fontId="23" numFmtId="10" xfId="0" applyAlignment="1" applyFont="1" applyNumberFormat="1">
      <alignment readingOrder="0"/>
    </xf>
    <xf borderId="0" fillId="0" fontId="7" numFmtId="169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0" xfId="0" applyFont="1" applyNumberFormat="1"/>
    <xf borderId="0" fillId="0" fontId="7" numFmtId="49" xfId="0" applyFont="1" applyNumberFormat="1"/>
    <xf borderId="0" fillId="0" fontId="24" numFmtId="169" xfId="0" applyFont="1" applyNumberFormat="1"/>
    <xf borderId="0" fillId="0" fontId="25" numFmtId="169" xfId="0" applyFont="1" applyNumberFormat="1"/>
    <xf borderId="0" fillId="0" fontId="7" numFmtId="170" xfId="0" applyFont="1" applyNumberFormat="1"/>
    <xf borderId="15" fillId="2" fontId="1" numFmtId="0" xfId="0" applyAlignment="1" applyBorder="1" applyFont="1">
      <alignment horizontal="center"/>
    </xf>
    <xf borderId="16" fillId="2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18" fillId="6" fontId="1" numFmtId="0" xfId="0" applyAlignment="1" applyBorder="1" applyFont="1">
      <alignment horizontal="center"/>
    </xf>
    <xf borderId="19" fillId="6" fontId="1" numFmtId="0" xfId="0" applyAlignment="1" applyBorder="1" applyFont="1">
      <alignment horizontal="center"/>
    </xf>
    <xf borderId="20" fillId="6" fontId="1" numFmtId="0" xfId="0" applyAlignment="1" applyBorder="1" applyFont="1">
      <alignment horizontal="center"/>
    </xf>
    <xf borderId="10" fillId="8" fontId="14" numFmtId="9" xfId="0" applyAlignment="1" applyBorder="1" applyFont="1" applyNumberFormat="1">
      <alignment horizontal="left"/>
    </xf>
    <xf borderId="4" fillId="8" fontId="14" numFmtId="171" xfId="0" applyAlignment="1" applyBorder="1" applyFont="1" applyNumberFormat="1">
      <alignment horizontal="left"/>
    </xf>
    <xf borderId="21" fillId="2" fontId="1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24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6" fillId="0" fontId="2" numFmtId="0" xfId="0" applyBorder="1" applyFont="1"/>
    <xf borderId="27" fillId="6" fontId="1" numFmtId="0" xfId="0" applyAlignment="1" applyBorder="1" applyFont="1">
      <alignment horizontal="center"/>
    </xf>
    <xf borderId="28" fillId="6" fontId="1" numFmtId="0" xfId="0" applyAlignment="1" applyBorder="1" applyFont="1">
      <alignment horizontal="center"/>
    </xf>
    <xf borderId="29" fillId="6" fontId="1" numFmtId="0" xfId="0" applyAlignment="1" applyBorder="1" applyFont="1">
      <alignment horizontal="center"/>
    </xf>
    <xf borderId="30" fillId="12" fontId="14" numFmtId="0" xfId="0" applyBorder="1" applyFill="1" applyFont="1"/>
    <xf borderId="31" fillId="12" fontId="13" numFmtId="0" xfId="0" applyBorder="1" applyFont="1"/>
    <xf borderId="31" fillId="12" fontId="13" numFmtId="9" xfId="0" applyBorder="1" applyFont="1" applyNumberFormat="1"/>
    <xf borderId="31" fillId="12" fontId="13" numFmtId="2" xfId="0" applyBorder="1" applyFont="1" applyNumberFormat="1"/>
    <xf borderId="31" fillId="12" fontId="13" numFmtId="172" xfId="0" applyBorder="1" applyFont="1" applyNumberFormat="1"/>
    <xf borderId="31" fillId="12" fontId="13" numFmtId="170" xfId="0" applyBorder="1" applyFont="1" applyNumberFormat="1"/>
    <xf borderId="31" fillId="12" fontId="13" numFmtId="10" xfId="0" applyBorder="1" applyFont="1" applyNumberFormat="1"/>
    <xf borderId="31" fillId="12" fontId="13" numFmtId="1" xfId="0" applyBorder="1" applyFont="1" applyNumberFormat="1"/>
    <xf borderId="32" fillId="12" fontId="13" numFmtId="10" xfId="0" applyBorder="1" applyFont="1" applyNumberFormat="1"/>
    <xf borderId="33" fillId="12" fontId="14" numFmtId="0" xfId="0" applyBorder="1" applyFont="1"/>
    <xf borderId="34" fillId="12" fontId="13" numFmtId="0" xfId="0" applyBorder="1" applyFont="1"/>
    <xf borderId="34" fillId="12" fontId="13" numFmtId="9" xfId="0" applyBorder="1" applyFont="1" applyNumberFormat="1"/>
    <xf borderId="34" fillId="12" fontId="13" numFmtId="2" xfId="0" applyBorder="1" applyFont="1" applyNumberFormat="1"/>
    <xf borderId="34" fillId="12" fontId="13" numFmtId="172" xfId="0" applyBorder="1" applyFont="1" applyNumberFormat="1"/>
    <xf borderId="34" fillId="12" fontId="13" numFmtId="170" xfId="0" applyBorder="1" applyFont="1" applyNumberFormat="1"/>
    <xf borderId="34" fillId="12" fontId="13" numFmtId="10" xfId="0" applyBorder="1" applyFont="1" applyNumberFormat="1"/>
    <xf borderId="34" fillId="12" fontId="13" numFmtId="1" xfId="0" applyBorder="1" applyFont="1" applyNumberFormat="1"/>
    <xf borderId="35" fillId="12" fontId="13" numFmtId="10" xfId="0" applyBorder="1" applyFont="1" applyNumberFormat="1"/>
    <xf borderId="36" fillId="12" fontId="14" numFmtId="0" xfId="0" applyBorder="1" applyFont="1"/>
    <xf borderId="37" fillId="12" fontId="13" numFmtId="0" xfId="0" applyBorder="1" applyFont="1"/>
    <xf borderId="37" fillId="12" fontId="13" numFmtId="9" xfId="0" applyBorder="1" applyFont="1" applyNumberFormat="1"/>
    <xf borderId="37" fillId="12" fontId="13" numFmtId="2" xfId="0" applyBorder="1" applyFont="1" applyNumberFormat="1"/>
    <xf borderId="37" fillId="12" fontId="13" numFmtId="172" xfId="0" applyBorder="1" applyFont="1" applyNumberFormat="1"/>
    <xf borderId="37" fillId="12" fontId="13" numFmtId="170" xfId="0" applyBorder="1" applyFont="1" applyNumberFormat="1"/>
    <xf borderId="37" fillId="12" fontId="13" numFmtId="10" xfId="0" applyBorder="1" applyFont="1" applyNumberFormat="1"/>
    <xf borderId="37" fillId="12" fontId="13" numFmtId="1" xfId="0" applyBorder="1" applyFont="1" applyNumberFormat="1"/>
    <xf borderId="38" fillId="12" fontId="13" numFmtId="10" xfId="0" applyBorder="1" applyFont="1" applyNumberFormat="1"/>
    <xf borderId="39" fillId="11" fontId="16" numFmtId="0" xfId="0" applyBorder="1" applyFont="1"/>
    <xf borderId="40" fillId="11" fontId="26" numFmtId="0" xfId="0" applyBorder="1" applyFont="1"/>
    <xf borderId="40" fillId="11" fontId="16" numFmtId="2" xfId="0" applyBorder="1" applyFont="1" applyNumberFormat="1"/>
    <xf borderId="40" fillId="11" fontId="16" numFmtId="172" xfId="0" applyBorder="1" applyFont="1" applyNumberFormat="1"/>
    <xf borderId="40" fillId="11" fontId="16" numFmtId="170" xfId="0" applyBorder="1" applyFont="1" applyNumberFormat="1"/>
    <xf borderId="40" fillId="11" fontId="16" numFmtId="10" xfId="0" applyBorder="1" applyFont="1" applyNumberFormat="1"/>
    <xf borderId="40" fillId="11" fontId="16" numFmtId="1" xfId="0" applyBorder="1" applyFont="1" applyNumberFormat="1"/>
    <xf borderId="41" fillId="11" fontId="16" numFmtId="10" xfId="0" applyBorder="1" applyFont="1" applyNumberFormat="1"/>
    <xf borderId="42" fillId="11" fontId="16" numFmtId="0" xfId="0" applyBorder="1" applyFont="1"/>
    <xf borderId="43" fillId="11" fontId="26" numFmtId="0" xfId="0" applyBorder="1" applyFont="1"/>
    <xf borderId="43" fillId="11" fontId="16" numFmtId="2" xfId="0" applyBorder="1" applyFont="1" applyNumberFormat="1"/>
    <xf borderId="43" fillId="11" fontId="16" numFmtId="10" xfId="0" applyBorder="1" applyFont="1" applyNumberFormat="1"/>
    <xf borderId="43" fillId="11" fontId="16" numFmtId="170" xfId="0" applyBorder="1" applyFont="1" applyNumberFormat="1"/>
    <xf borderId="43" fillId="11" fontId="16" numFmtId="1" xfId="0" applyBorder="1" applyFont="1" applyNumberFormat="1"/>
    <xf borderId="44" fillId="11" fontId="16" numFmtId="10" xfId="0" applyBorder="1" applyFont="1" applyNumberFormat="1"/>
    <xf borderId="45" fillId="6" fontId="1" numFmtId="0" xfId="0" applyAlignment="1" applyBorder="1" applyFont="1">
      <alignment horizontal="center"/>
    </xf>
    <xf borderId="46" fillId="12" fontId="14" numFmtId="2" xfId="0" applyBorder="1" applyFont="1" applyNumberFormat="1"/>
    <xf borderId="47" fillId="6" fontId="1" numFmtId="0" xfId="0" applyAlignment="1" applyBorder="1" applyFont="1">
      <alignment horizontal="center"/>
    </xf>
    <xf borderId="48" fillId="12" fontId="14" numFmtId="10" xfId="0" applyBorder="1" applyFont="1" applyNumberFormat="1"/>
    <xf borderId="49" fillId="2" fontId="3" numFmtId="0" xfId="0" applyAlignment="1" applyBorder="1" applyFont="1">
      <alignment horizontal="center"/>
    </xf>
    <xf borderId="50" fillId="11" fontId="16" numFmtId="10" xfId="0" applyBorder="1" applyFont="1" applyNumberFormat="1"/>
    <xf borderId="0" fillId="0" fontId="11" numFmtId="10" xfId="0" applyFont="1" applyNumberFormat="1"/>
    <xf borderId="0" fillId="0" fontId="11" numFmtId="0" xfId="0" applyFont="1"/>
    <xf borderId="4" fillId="13" fontId="8" numFmtId="0" xfId="0" applyAlignment="1" applyBorder="1" applyFill="1" applyFont="1">
      <alignment shrinkToFit="0" wrapText="1"/>
    </xf>
    <xf borderId="4" fillId="13" fontId="1" numFmtId="0" xfId="0" applyAlignment="1" applyBorder="1" applyFont="1">
      <alignment horizontal="center"/>
    </xf>
    <xf borderId="4" fillId="13" fontId="14" numFmtId="9" xfId="0" applyAlignment="1" applyBorder="1" applyFont="1" applyNumberFormat="1">
      <alignment horizontal="left"/>
    </xf>
    <xf borderId="4" fillId="13" fontId="13" numFmtId="9" xfId="0" applyAlignment="1" applyBorder="1" applyFont="1" applyNumberFormat="1">
      <alignment horizontal="left"/>
    </xf>
    <xf borderId="8" fillId="14" fontId="14" numFmtId="0" xfId="0" applyAlignment="1" applyBorder="1" applyFill="1" applyFont="1">
      <alignment horizontal="left"/>
    </xf>
    <xf borderId="13" fillId="6" fontId="14" numFmtId="166" xfId="0" applyAlignment="1" applyBorder="1" applyFont="1" applyNumberFormat="1">
      <alignment horizontal="center"/>
    </xf>
    <xf borderId="0" fillId="0" fontId="27" numFmtId="0" xfId="0" applyFont="1"/>
    <xf borderId="4" fillId="13" fontId="14" numFmtId="166" xfId="0" applyAlignment="1" applyBorder="1" applyFont="1" applyNumberFormat="1">
      <alignment horizontal="center"/>
    </xf>
    <xf borderId="11" fillId="6" fontId="14" numFmtId="166" xfId="0" applyAlignment="1" applyBorder="1" applyFont="1" applyNumberFormat="1">
      <alignment horizontal="center"/>
    </xf>
    <xf borderId="12" fillId="6" fontId="14" numFmtId="166" xfId="0" applyAlignment="1" applyBorder="1" applyFont="1" applyNumberFormat="1">
      <alignment horizontal="center"/>
    </xf>
    <xf borderId="4" fillId="13" fontId="7" numFmtId="0" xfId="0" applyBorder="1" applyFont="1"/>
    <xf borderId="0" fillId="0" fontId="7" numFmtId="172" xfId="0" applyFont="1" applyNumberFormat="1"/>
    <xf borderId="51" fillId="2" fontId="1" numFmtId="0" xfId="0" applyAlignment="1" applyBorder="1" applyFont="1">
      <alignment horizontal="center"/>
    </xf>
    <xf borderId="52" fillId="11" fontId="16" numFmtId="166" xfId="0" applyAlignment="1" applyBorder="1" applyFont="1" applyNumberFormat="1">
      <alignment horizontal="left"/>
    </xf>
    <xf borderId="53" fillId="11" fontId="28" numFmtId="166" xfId="0" applyAlignment="1" applyBorder="1" applyFont="1" applyNumberFormat="1">
      <alignment horizontal="center"/>
    </xf>
    <xf borderId="53" fillId="11" fontId="29" numFmtId="166" xfId="0" applyAlignment="1" applyBorder="1" applyFont="1" applyNumberFormat="1">
      <alignment horizontal="center"/>
    </xf>
    <xf borderId="54" fillId="11" fontId="29" numFmtId="166" xfId="0" applyAlignment="1" applyBorder="1" applyFont="1" applyNumberFormat="1">
      <alignment horizontal="center"/>
    </xf>
    <xf borderId="8" fillId="6" fontId="1" numFmtId="0" xfId="0" applyAlignment="1" applyBorder="1" applyFont="1">
      <alignment horizontal="center"/>
    </xf>
    <xf borderId="55" fillId="8" fontId="13" numFmtId="9" xfId="0" applyAlignment="1" applyBorder="1" applyFont="1" applyNumberFormat="1">
      <alignment horizontal="left"/>
    </xf>
    <xf borderId="7" fillId="8" fontId="14" numFmtId="169" xfId="0" applyAlignment="1" applyBorder="1" applyFont="1" applyNumberFormat="1">
      <alignment horizontal="center"/>
    </xf>
    <xf borderId="7" fillId="8" fontId="14" numFmtId="4" xfId="0" applyAlignment="1" applyBorder="1" applyFont="1" applyNumberFormat="1">
      <alignment horizontal="center"/>
    </xf>
    <xf borderId="56" fillId="8" fontId="14" numFmtId="4" xfId="0" applyAlignment="1" applyBorder="1" applyFont="1" applyNumberFormat="1">
      <alignment horizontal="center"/>
    </xf>
    <xf borderId="53" fillId="11" fontId="16" numFmtId="166" xfId="0" applyAlignment="1" applyBorder="1" applyFont="1" applyNumberFormat="1">
      <alignment horizontal="left"/>
    </xf>
    <xf borderId="54" fillId="11" fontId="16" numFmtId="166" xfId="0" applyAlignment="1" applyBorder="1" applyFont="1" applyNumberFormat="1">
      <alignment horizontal="left"/>
    </xf>
    <xf borderId="0" fillId="0" fontId="7" numFmtId="165" xfId="0" applyAlignment="1" applyFont="1" applyNumberFormat="1">
      <alignment horizontal="center"/>
    </xf>
    <xf borderId="0" fillId="0" fontId="7" numFmtId="173" xfId="0" applyAlignment="1" applyFont="1" applyNumberFormat="1">
      <alignment horizontal="center"/>
    </xf>
    <xf borderId="8" fillId="2" fontId="1" numFmtId="0" xfId="0" applyAlignment="1" applyBorder="1" applyFont="1">
      <alignment horizontal="center"/>
    </xf>
    <xf borderId="8" fillId="2" fontId="1" numFmtId="166" xfId="0" applyAlignment="1" applyBorder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9" xfId="0" applyAlignment="1" applyFont="1" applyNumberFormat="1">
      <alignment horizontal="center"/>
    </xf>
    <xf borderId="0" fillId="0" fontId="7" numFmtId="174" xfId="0" applyFont="1" applyNumberFormat="1"/>
    <xf borderId="0" fillId="0" fontId="7" numFmtId="175" xfId="0" applyFont="1" applyNumberFormat="1"/>
    <xf borderId="0" fillId="0" fontId="7" numFmtId="176" xfId="0" applyAlignment="1" applyFont="1" applyNumberFormat="1">
      <alignment horizontal="center"/>
    </xf>
    <xf borderId="8" fillId="2" fontId="1" numFmtId="10" xfId="0" applyAlignment="1" applyBorder="1" applyFont="1" applyNumberFormat="1">
      <alignment horizontal="center"/>
    </xf>
    <xf borderId="0" fillId="0" fontId="30" numFmtId="9" xfId="0" applyFont="1" applyNumberFormat="1"/>
    <xf borderId="0" fillId="0" fontId="7" numFmtId="172" xfId="0" applyAlignment="1" applyFont="1" applyNumberFormat="1">
      <alignment horizontal="right"/>
    </xf>
    <xf borderId="0" fillId="0" fontId="8" numFmtId="9" xfId="0" applyFont="1" applyNumberFormat="1"/>
    <xf borderId="57" fillId="2" fontId="1" numFmtId="0" xfId="0" applyAlignment="1" applyBorder="1" applyFont="1">
      <alignment horizontal="center"/>
    </xf>
    <xf borderId="58" fillId="0" fontId="2" numFmtId="0" xfId="0" applyBorder="1" applyFont="1"/>
    <xf borderId="59" fillId="2" fontId="1" numFmtId="0" xfId="0" applyAlignment="1" applyBorder="1" applyFont="1">
      <alignment horizontal="center"/>
    </xf>
    <xf borderId="60" fillId="2" fontId="1" numFmtId="0" xfId="0" applyAlignment="1" applyBorder="1" applyFont="1">
      <alignment horizontal="center"/>
    </xf>
    <xf borderId="14" fillId="0" fontId="31" numFmtId="0" xfId="0" applyBorder="1" applyFont="1"/>
    <xf borderId="14" fillId="0" fontId="11" numFmtId="0" xfId="0" applyBorder="1" applyFont="1"/>
    <xf borderId="51" fillId="8" fontId="13" numFmtId="0" xfId="0" applyBorder="1" applyFont="1"/>
    <xf borderId="59" fillId="8" fontId="13" numFmtId="9" xfId="0" applyAlignment="1" applyBorder="1" applyFont="1" applyNumberFormat="1">
      <alignment horizontal="right"/>
    </xf>
    <xf borderId="59" fillId="8" fontId="13" numFmtId="9" xfId="0" applyBorder="1" applyFont="1" applyNumberFormat="1"/>
    <xf borderId="60" fillId="8" fontId="13" numFmtId="9" xfId="0" applyAlignment="1" applyBorder="1" applyFont="1" applyNumberFormat="1">
      <alignment horizontal="right"/>
    </xf>
    <xf borderId="14" fillId="0" fontId="32" numFmtId="0" xfId="0" applyAlignment="1" applyBorder="1" applyFont="1">
      <alignment horizontal="right"/>
    </xf>
    <xf borderId="14" fillId="0" fontId="32" numFmtId="3" xfId="0" applyAlignment="1" applyBorder="1" applyFont="1" applyNumberFormat="1">
      <alignment horizontal="right"/>
    </xf>
    <xf borderId="14" fillId="0" fontId="32" numFmtId="167" xfId="0" applyAlignment="1" applyBorder="1" applyFont="1" applyNumberFormat="1">
      <alignment horizontal="right"/>
    </xf>
    <xf borderId="10" fillId="8" fontId="13" numFmtId="0" xfId="0" applyBorder="1" applyFont="1"/>
    <xf borderId="4" fillId="8" fontId="13" numFmtId="9" xfId="0" applyAlignment="1" applyBorder="1" applyFont="1" applyNumberFormat="1">
      <alignment horizontal="right"/>
    </xf>
    <xf borderId="4" fillId="8" fontId="13" numFmtId="9" xfId="0" applyBorder="1" applyFont="1" applyNumberFormat="1"/>
    <xf borderId="61" fillId="8" fontId="13" numFmtId="9" xfId="0" applyAlignment="1" applyBorder="1" applyFont="1" applyNumberFormat="1">
      <alignment horizontal="right"/>
    </xf>
    <xf borderId="10" fillId="8" fontId="14" numFmtId="0" xfId="0" applyBorder="1" applyFont="1"/>
    <xf borderId="61" fillId="8" fontId="13" numFmtId="3" xfId="0" applyAlignment="1" applyBorder="1" applyFont="1" applyNumberFormat="1">
      <alignment horizontal="right"/>
    </xf>
    <xf borderId="55" fillId="8" fontId="14" numFmtId="0" xfId="0" applyBorder="1" applyFont="1"/>
    <xf borderId="7" fillId="8" fontId="13" numFmtId="9" xfId="0" applyAlignment="1" applyBorder="1" applyFont="1" applyNumberFormat="1">
      <alignment horizontal="right"/>
    </xf>
    <xf borderId="7" fillId="8" fontId="14" numFmtId="9" xfId="0" applyBorder="1" applyFont="1" applyNumberFormat="1"/>
    <xf borderId="56" fillId="8" fontId="14" numFmtId="9" xfId="0" applyAlignment="1" applyBorder="1" applyFont="1" applyNumberFormat="1">
      <alignment horizontal="right"/>
    </xf>
    <xf borderId="56" fillId="8" fontId="13" numFmtId="10" xfId="0" applyBorder="1" applyFont="1" applyNumberFormat="1"/>
    <xf borderId="14" fillId="0" fontId="11" numFmtId="167" xfId="0" applyAlignment="1" applyBorder="1" applyFont="1" applyNumberFormat="1">
      <alignment horizontal="right"/>
    </xf>
    <xf borderId="62" fillId="0" fontId="2" numFmtId="0" xfId="0" applyBorder="1" applyFont="1"/>
    <xf borderId="51" fillId="8" fontId="14" numFmtId="0" xfId="0" applyBorder="1" applyFont="1"/>
    <xf borderId="56" fillId="8" fontId="13" numFmtId="9" xfId="0" applyAlignment="1" applyBorder="1" applyFont="1" applyNumberFormat="1">
      <alignment horizontal="right"/>
    </xf>
    <xf borderId="60" fillId="8" fontId="13" numFmtId="10" xfId="0" applyAlignment="1" applyBorder="1" applyFont="1" applyNumberFormat="1">
      <alignment horizontal="right"/>
    </xf>
    <xf borderId="61" fillId="8" fontId="13" numFmtId="10" xfId="0" applyAlignment="1" applyBorder="1" applyFont="1" applyNumberFormat="1">
      <alignment horizontal="right"/>
    </xf>
    <xf borderId="51" fillId="8" fontId="14" numFmtId="9" xfId="0" applyBorder="1" applyFont="1" applyNumberFormat="1"/>
    <xf borderId="60" fillId="8" fontId="13" numFmtId="166" xfId="0" applyAlignment="1" applyBorder="1" applyFont="1" applyNumberFormat="1">
      <alignment horizontal="right"/>
    </xf>
    <xf borderId="10" fillId="8" fontId="14" numFmtId="9" xfId="0" applyBorder="1" applyFont="1" applyNumberFormat="1"/>
    <xf borderId="61" fillId="8" fontId="13" numFmtId="166" xfId="0" applyAlignment="1" applyBorder="1" applyFont="1" applyNumberFormat="1">
      <alignment horizontal="right"/>
    </xf>
    <xf borderId="55" fillId="8" fontId="14" numFmtId="9" xfId="0" applyBorder="1" applyFont="1" applyNumberFormat="1"/>
    <xf borderId="56" fillId="8" fontId="13" numFmtId="166" xfId="0" applyAlignment="1" applyBorder="1" applyFont="1" applyNumberFormat="1">
      <alignment horizontal="right"/>
    </xf>
    <xf borderId="0" fillId="0" fontId="33" numFmtId="0" xfId="0" applyFont="1"/>
    <xf borderId="14" fillId="9" fontId="31" numFmtId="0" xfId="0" applyAlignment="1" applyBorder="1" applyFont="1">
      <alignment horizontal="center"/>
    </xf>
    <xf borderId="63" fillId="2" fontId="1" numFmtId="0" xfId="0" applyAlignment="1" applyBorder="1" applyFont="1">
      <alignment horizontal="center"/>
    </xf>
    <xf borderId="60" fillId="2" fontId="1" numFmtId="9" xfId="0" applyAlignment="1" applyBorder="1" applyFont="1" applyNumberFormat="1">
      <alignment horizontal="center"/>
    </xf>
    <xf borderId="0" fillId="0" fontId="34" numFmtId="0" xfId="0" applyFont="1"/>
    <xf borderId="14" fillId="10" fontId="31" numFmtId="9" xfId="0" applyAlignment="1" applyBorder="1" applyFont="1" applyNumberFormat="1">
      <alignment horizontal="center"/>
    </xf>
    <xf borderId="64" fillId="6" fontId="1" numFmtId="0" xfId="0" applyAlignment="1" applyBorder="1" applyFont="1">
      <alignment horizontal="center"/>
    </xf>
    <xf borderId="4" fillId="8" fontId="14" numFmtId="0" xfId="0" applyBorder="1" applyFont="1"/>
    <xf borderId="61" fillId="8" fontId="14" numFmtId="0" xfId="0" applyBorder="1" applyFont="1"/>
    <xf borderId="65" fillId="6" fontId="1" numFmtId="0" xfId="0" applyAlignment="1" applyBorder="1" applyFont="1">
      <alignment horizontal="center"/>
    </xf>
    <xf borderId="7" fillId="8" fontId="14" numFmtId="1" xfId="0" applyBorder="1" applyFont="1" applyNumberFormat="1"/>
    <xf borderId="7" fillId="8" fontId="14" numFmtId="0" xfId="0" applyBorder="1" applyFont="1"/>
    <xf borderId="56" fillId="8" fontId="14" numFmtId="0" xfId="0" applyBorder="1" applyFont="1"/>
    <xf borderId="8" fillId="8" fontId="14" numFmtId="1" xfId="0" applyBorder="1" applyFont="1" applyNumberFormat="1"/>
    <xf borderId="0" fillId="0" fontId="35" numFmtId="0" xfId="0" applyAlignment="1" applyFont="1">
      <alignment horizontal="left" readingOrder="1"/>
    </xf>
    <xf borderId="0" fillId="0" fontId="35" numFmtId="3" xfId="0" applyAlignment="1" applyFont="1" applyNumberFormat="1">
      <alignment horizontal="left" readingOrder="1"/>
    </xf>
    <xf borderId="13" fillId="2" fontId="1" numFmtId="9" xfId="0" applyAlignment="1" applyBorder="1" applyFont="1" applyNumberFormat="1">
      <alignment horizontal="center"/>
    </xf>
    <xf borderId="61" fillId="8" fontId="14" numFmtId="9" xfId="0" applyBorder="1" applyFont="1" applyNumberFormat="1"/>
    <xf borderId="61" fillId="8" fontId="13" numFmtId="9" xfId="0" applyBorder="1" applyFont="1" applyNumberFormat="1"/>
    <xf borderId="56" fillId="8" fontId="14" numFmtId="1" xfId="0" applyBorder="1" applyFont="1" applyNumberFormat="1"/>
    <xf borderId="66" fillId="0" fontId="34" numFmtId="0" xfId="0" applyBorder="1" applyFont="1"/>
    <xf borderId="0" fillId="0" fontId="36" numFmtId="0" xfId="0" applyAlignment="1" applyFont="1">
      <alignment readingOrder="0"/>
    </xf>
    <xf borderId="0" fillId="0" fontId="13" numFmtId="0" xfId="0" applyFont="1"/>
    <xf borderId="1" fillId="2" fontId="14" numFmtId="0" xfId="0" applyAlignment="1" applyBorder="1" applyFont="1">
      <alignment horizontal="center"/>
    </xf>
    <xf borderId="67" fillId="6" fontId="4" numFmtId="0" xfId="0" applyAlignment="1" applyBorder="1" applyFont="1">
      <alignment horizontal="left" readingOrder="0"/>
    </xf>
    <xf borderId="68" fillId="6" fontId="4" numFmtId="174" xfId="0" applyAlignment="1" applyBorder="1" applyFont="1" applyNumberFormat="1">
      <alignment horizontal="center"/>
    </xf>
    <xf borderId="69" fillId="6" fontId="4" numFmtId="0" xfId="0" applyAlignment="1" applyBorder="1" applyFont="1">
      <alignment horizontal="center" readingOrder="0"/>
    </xf>
    <xf borderId="70" fillId="15" fontId="4" numFmtId="0" xfId="0" applyAlignment="1" applyBorder="1" applyFill="1" applyFont="1">
      <alignment horizontal="left" readingOrder="0"/>
    </xf>
    <xf borderId="71" fillId="15" fontId="4" numFmtId="0" xfId="0" applyAlignment="1" applyBorder="1" applyFont="1">
      <alignment horizontal="center"/>
    </xf>
    <xf borderId="72" fillId="15" fontId="4" numFmtId="0" xfId="0" applyAlignment="1" applyBorder="1" applyFont="1">
      <alignment horizontal="center"/>
    </xf>
    <xf borderId="73" fillId="15" fontId="4" numFmtId="0" xfId="0" applyAlignment="1" applyBorder="1" applyFont="1">
      <alignment horizontal="left" readingOrder="0"/>
    </xf>
    <xf borderId="74" fillId="15" fontId="4" numFmtId="0" xfId="0" applyAlignment="1" applyBorder="1" applyFont="1">
      <alignment horizontal="center"/>
    </xf>
    <xf borderId="75" fillId="15" fontId="4" numFmtId="0" xfId="0" applyAlignment="1" applyBorder="1" applyFont="1">
      <alignment horizontal="center"/>
    </xf>
    <xf borderId="76" fillId="15" fontId="4" numFmtId="0" xfId="0" applyAlignment="1" applyBorder="1" applyFont="1">
      <alignment horizontal="left" readingOrder="0"/>
    </xf>
    <xf borderId="77" fillId="15" fontId="4" numFmtId="0" xfId="0" applyAlignment="1" applyBorder="1" applyFont="1">
      <alignment horizontal="center"/>
    </xf>
    <xf borderId="78" fillId="15" fontId="4" numFmtId="0" xfId="0" applyAlignment="1" applyBorder="1" applyFont="1">
      <alignment horizontal="center"/>
    </xf>
    <xf borderId="11" fillId="6" fontId="4" numFmtId="0" xfId="0" applyAlignment="1" applyBorder="1" applyFont="1">
      <alignment horizontal="left" readingOrder="0"/>
    </xf>
    <xf borderId="12" fillId="6" fontId="4" numFmtId="0" xfId="0" applyAlignment="1" applyBorder="1" applyFont="1">
      <alignment horizontal="center"/>
    </xf>
    <xf borderId="79" fillId="6" fontId="4" numFmtId="0" xfId="0" applyAlignment="1" applyBorder="1" applyFont="1">
      <alignment horizontal="center"/>
    </xf>
    <xf borderId="80" fillId="2" fontId="14" numFmtId="0" xfId="0" applyAlignment="1" applyBorder="1" applyFont="1">
      <alignment horizontal="center"/>
    </xf>
    <xf borderId="81" fillId="0" fontId="2" numFmtId="0" xfId="0" applyBorder="1" applyFont="1"/>
    <xf borderId="82" fillId="0" fontId="2" numFmtId="0" xfId="0" applyBorder="1" applyFont="1"/>
    <xf borderId="83" fillId="15" fontId="4" numFmtId="0" xfId="0" applyAlignment="1" applyBorder="1" applyFont="1">
      <alignment horizontal="center"/>
    </xf>
    <xf borderId="84" fillId="15" fontId="4" numFmtId="0" xfId="0" applyAlignment="1" applyBorder="1" applyFont="1">
      <alignment horizontal="center"/>
    </xf>
    <xf borderId="85" fillId="15" fontId="4" numFmtId="0" xfId="0" applyAlignment="1" applyBorder="1" applyFont="1">
      <alignment horizontal="center"/>
    </xf>
    <xf borderId="86" fillId="6" fontId="31" numFmtId="0" xfId="0" applyAlignment="1" applyBorder="1" applyFont="1">
      <alignment readingOrder="0"/>
    </xf>
    <xf borderId="12" fillId="6" fontId="37" numFmtId="10" xfId="0" applyAlignment="1" applyBorder="1" applyFont="1" applyNumberFormat="1">
      <alignment horizontal="center"/>
    </xf>
    <xf borderId="13" fillId="6" fontId="37" numFmtId="10" xfId="0" applyAlignment="1" applyBorder="1" applyFont="1" applyNumberFormat="1">
      <alignment horizontal="center"/>
    </xf>
    <xf borderId="11" fillId="2" fontId="38" numFmtId="0" xfId="0" applyAlignment="1" applyBorder="1" applyFont="1">
      <alignment readingOrder="0"/>
    </xf>
    <xf borderId="13" fillId="2" fontId="38" numFmtId="0" xfId="0" applyAlignment="1" applyBorder="1" applyFont="1">
      <alignment readingOrder="0"/>
    </xf>
    <xf borderId="70" fillId="15" fontId="4" numFmtId="167" xfId="0" applyAlignment="1" applyBorder="1" applyFont="1" applyNumberFormat="1">
      <alignment horizontal="center" readingOrder="0"/>
    </xf>
    <xf borderId="72" fillId="15" fontId="4" numFmtId="9" xfId="0" applyAlignment="1" applyBorder="1" applyFont="1" applyNumberFormat="1">
      <alignment horizontal="center"/>
    </xf>
    <xf borderId="73" fillId="15" fontId="4" numFmtId="167" xfId="0" applyAlignment="1" applyBorder="1" applyFont="1" applyNumberFormat="1">
      <alignment horizontal="center" readingOrder="0"/>
    </xf>
    <xf borderId="75" fillId="15" fontId="4" numFmtId="9" xfId="0" applyAlignment="1" applyBorder="1" applyFont="1" applyNumberFormat="1">
      <alignment horizontal="center"/>
    </xf>
    <xf borderId="76" fillId="15" fontId="4" numFmtId="167" xfId="0" applyAlignment="1" applyBorder="1" applyFont="1" applyNumberFormat="1">
      <alignment horizontal="center" readingOrder="0"/>
    </xf>
    <xf borderId="78" fillId="15" fontId="4" numFmtId="9" xfId="0" applyAlignment="1" applyBorder="1" applyFont="1" applyNumberFormat="1">
      <alignment horizontal="center"/>
    </xf>
    <xf borderId="8" fillId="6" fontId="1" numFmtId="10" xfId="0" applyAlignment="1" applyBorder="1" applyFont="1" applyNumberFormat="1">
      <alignment horizontal="center"/>
    </xf>
    <xf borderId="0" fillId="0" fontId="39" numFmtId="0" xfId="0" applyFont="1"/>
    <xf borderId="0" fillId="0" fontId="40" numFmtId="0" xfId="0" applyFont="1"/>
    <xf borderId="51" fillId="8" fontId="14" numFmtId="9" xfId="0" applyAlignment="1" applyBorder="1" applyFont="1" applyNumberFormat="1">
      <alignment horizontal="left"/>
    </xf>
    <xf borderId="51" fillId="8" fontId="13" numFmtId="3" xfId="0" applyAlignment="1" applyBorder="1" applyFont="1" applyNumberFormat="1">
      <alignment horizontal="right"/>
    </xf>
    <xf borderId="59" fillId="8" fontId="13" numFmtId="3" xfId="0" applyAlignment="1" applyBorder="1" applyFont="1" applyNumberFormat="1">
      <alignment horizontal="right"/>
    </xf>
    <xf borderId="60" fillId="8" fontId="13" numFmtId="3" xfId="0" applyAlignment="1" applyBorder="1" applyFont="1" applyNumberFormat="1">
      <alignment horizontal="right"/>
    </xf>
    <xf borderId="8" fillId="9" fontId="41" numFmtId="0" xfId="0" applyAlignment="1" applyBorder="1" applyFont="1">
      <alignment horizontal="center"/>
    </xf>
    <xf borderId="0" fillId="0" fontId="42" numFmtId="0" xfId="0" applyFont="1"/>
    <xf borderId="10" fillId="8" fontId="13" numFmtId="10" xfId="0" applyAlignment="1" applyBorder="1" applyFont="1" applyNumberFormat="1">
      <alignment horizontal="right"/>
    </xf>
    <xf borderId="8" fillId="10" fontId="43" numFmtId="9" xfId="0" applyAlignment="1" applyBorder="1" applyFont="1" applyNumberFormat="1">
      <alignment horizontal="center"/>
    </xf>
    <xf borderId="0" fillId="0" fontId="44" numFmtId="0" xfId="0" applyFont="1"/>
    <xf borderId="14" fillId="9" fontId="41" numFmtId="0" xfId="0" applyAlignment="1" applyBorder="1" applyFont="1">
      <alignment horizontal="center"/>
    </xf>
    <xf borderId="10" fillId="8" fontId="13" numFmtId="3" xfId="0" applyAlignment="1" applyBorder="1" applyFont="1" applyNumberFormat="1">
      <alignment horizontal="right"/>
    </xf>
    <xf borderId="4" fillId="8" fontId="13" numFmtId="3" xfId="0" applyAlignment="1" applyBorder="1" applyFont="1" applyNumberFormat="1">
      <alignment horizontal="right"/>
    </xf>
    <xf borderId="14" fillId="10" fontId="7" numFmtId="9" xfId="0" applyAlignment="1" applyBorder="1" applyFont="1" applyNumberFormat="1">
      <alignment horizontal="center"/>
    </xf>
    <xf borderId="10" fillId="8" fontId="14" numFmtId="3" xfId="0" applyAlignment="1" applyBorder="1" applyFont="1" applyNumberFormat="1">
      <alignment horizontal="right"/>
    </xf>
    <xf borderId="4" fillId="8" fontId="14" numFmtId="3" xfId="0" applyAlignment="1" applyBorder="1" applyFont="1" applyNumberFormat="1">
      <alignment horizontal="right"/>
    </xf>
    <xf borderId="61" fillId="8" fontId="14" numFmtId="3" xfId="0" applyAlignment="1" applyBorder="1" applyFont="1" applyNumberFormat="1">
      <alignment horizontal="right"/>
    </xf>
    <xf borderId="10" fillId="8" fontId="13" numFmtId="166" xfId="0" applyAlignment="1" applyBorder="1" applyFont="1" applyNumberFormat="1">
      <alignment horizontal="right"/>
    </xf>
    <xf borderId="4" fillId="8" fontId="13" numFmtId="166" xfId="0" applyAlignment="1" applyBorder="1" applyFont="1" applyNumberFormat="1">
      <alignment horizontal="right"/>
    </xf>
    <xf borderId="55" fillId="8" fontId="14" numFmtId="166" xfId="0" applyAlignment="1" applyBorder="1" applyFont="1" applyNumberFormat="1">
      <alignment horizontal="right"/>
    </xf>
    <xf borderId="7" fillId="8" fontId="14" numFmtId="166" xfId="0" applyAlignment="1" applyBorder="1" applyFont="1" applyNumberFormat="1">
      <alignment horizontal="right"/>
    </xf>
    <xf borderId="61" fillId="8" fontId="14" numFmtId="166" xfId="0" applyAlignment="1" applyBorder="1" applyFont="1" applyNumberFormat="1">
      <alignment horizontal="right"/>
    </xf>
    <xf borderId="63" fillId="6" fontId="17" numFmtId="0" xfId="0" applyAlignment="1" applyBorder="1" applyFont="1">
      <alignment horizontal="center"/>
    </xf>
    <xf borderId="63" fillId="6" fontId="17" numFmtId="171" xfId="0" applyAlignment="1" applyBorder="1" applyFont="1" applyNumberFormat="1">
      <alignment horizontal="center"/>
    </xf>
    <xf borderId="64" fillId="6" fontId="17" numFmtId="0" xfId="0" applyAlignment="1" applyBorder="1" applyFont="1">
      <alignment horizontal="center"/>
    </xf>
    <xf borderId="64" fillId="6" fontId="17" numFmtId="171" xfId="0" applyAlignment="1" applyBorder="1" applyFont="1" applyNumberFormat="1">
      <alignment horizontal="center"/>
    </xf>
    <xf borderId="65" fillId="6" fontId="17" numFmtId="0" xfId="0" applyAlignment="1" applyBorder="1" applyFont="1">
      <alignment horizontal="center"/>
    </xf>
    <xf borderId="0" fillId="0" fontId="41" numFmtId="0" xfId="0" applyFont="1"/>
    <xf borderId="0" fillId="0" fontId="43" numFmtId="0" xfId="0" applyAlignment="1" applyFont="1">
      <alignment readingOrder="0"/>
    </xf>
    <xf borderId="0" fillId="0" fontId="43" numFmtId="4" xfId="0" applyAlignment="1" applyFont="1" applyNumberFormat="1">
      <alignment readingOrder="0"/>
    </xf>
    <xf borderId="0" fillId="0" fontId="39" numFmtId="10" xfId="0" applyFont="1" applyNumberFormat="1"/>
    <xf borderId="0" fillId="0" fontId="39" numFmtId="4" xfId="0" applyFont="1" applyNumberFormat="1"/>
    <xf borderId="63" fillId="6" fontId="1" numFmtId="0" xfId="0" applyAlignment="1" applyBorder="1" applyFont="1">
      <alignment horizontal="center"/>
    </xf>
    <xf borderId="51" fillId="6" fontId="1" numFmtId="0" xfId="0" applyAlignment="1" applyBorder="1" applyFont="1">
      <alignment horizontal="center"/>
    </xf>
    <xf borderId="51" fillId="8" fontId="13" numFmtId="9" xfId="0" applyBorder="1" applyFont="1" applyNumberFormat="1"/>
    <xf borderId="59" fillId="8" fontId="13" numFmtId="171" xfId="0" applyBorder="1" applyFont="1" applyNumberFormat="1"/>
    <xf borderId="59" fillId="8" fontId="14" numFmtId="9" xfId="0" applyBorder="1" applyFont="1" applyNumberFormat="1"/>
    <xf borderId="60" fillId="8" fontId="14" numFmtId="166" xfId="0" applyBorder="1" applyFont="1" applyNumberFormat="1"/>
    <xf borderId="10" fillId="6" fontId="1" numFmtId="0" xfId="0" applyAlignment="1" applyBorder="1" applyFont="1">
      <alignment horizontal="center"/>
    </xf>
    <xf borderId="10" fillId="8" fontId="13" numFmtId="9" xfId="0" applyBorder="1" applyFont="1" applyNumberFormat="1"/>
    <xf borderId="4" fillId="8" fontId="13" numFmtId="171" xfId="0" applyBorder="1" applyFont="1" applyNumberFormat="1"/>
    <xf borderId="4" fillId="8" fontId="14" numFmtId="9" xfId="0" applyBorder="1" applyFont="1" applyNumberFormat="1"/>
    <xf borderId="61" fillId="8" fontId="14" numFmtId="166" xfId="0" applyBorder="1" applyFont="1" applyNumberFormat="1"/>
    <xf borderId="4" fillId="8" fontId="13" numFmtId="166" xfId="0" applyBorder="1" applyFont="1" applyNumberFormat="1"/>
    <xf borderId="55" fillId="6" fontId="1" numFmtId="0" xfId="0" applyAlignment="1" applyBorder="1" applyFont="1">
      <alignment horizontal="center"/>
    </xf>
    <xf borderId="55" fillId="8" fontId="13" numFmtId="9" xfId="0" applyBorder="1" applyFont="1" applyNumberFormat="1"/>
    <xf borderId="7" fillId="8" fontId="13" numFmtId="166" xfId="0" applyBorder="1" applyFont="1" applyNumberFormat="1"/>
    <xf borderId="56" fillId="8" fontId="14" numFmtId="166" xfId="0" applyBorder="1" applyFont="1" applyNumberFormat="1"/>
    <xf borderId="61" fillId="2" fontId="1" numFmtId="171" xfId="0" applyAlignment="1" applyBorder="1" applyFont="1" applyNumberFormat="1">
      <alignment horizontal="center"/>
    </xf>
    <xf borderId="55" fillId="2" fontId="1" numFmtId="0" xfId="0" applyAlignment="1" applyBorder="1" applyFont="1">
      <alignment horizontal="center"/>
    </xf>
    <xf borderId="56" fillId="2" fontId="1" numFmtId="166" xfId="0" applyAlignment="1" applyBorder="1" applyFont="1" applyNumberFormat="1">
      <alignment horizontal="center"/>
    </xf>
    <xf borderId="4" fillId="8" fontId="14" numFmtId="171" xfId="0" applyBorder="1" applyFont="1" applyNumberFormat="1"/>
    <xf borderId="4" fillId="8" fontId="14" numFmtId="166" xfId="0" applyBorder="1" applyFont="1" applyNumberFormat="1"/>
    <xf borderId="49" fillId="2" fontId="1" numFmtId="0" xfId="0" applyAlignment="1" applyBorder="1" applyFont="1">
      <alignment horizontal="center"/>
    </xf>
    <xf borderId="87" fillId="2" fontId="1" numFmtId="0" xfId="0" applyAlignment="1" applyBorder="1" applyFont="1">
      <alignment horizontal="center"/>
    </xf>
    <xf borderId="88" fillId="2" fontId="1" numFmtId="0" xfId="0" applyAlignment="1" applyBorder="1" applyFont="1">
      <alignment horizontal="center"/>
    </xf>
    <xf borderId="89" fillId="0" fontId="17" numFmtId="0" xfId="0" applyBorder="1" applyFont="1"/>
    <xf borderId="89" fillId="0" fontId="10" numFmtId="0" xfId="0" applyBorder="1" applyFont="1"/>
    <xf borderId="89" fillId="0" fontId="31" numFmtId="167" xfId="0" applyBorder="1" applyFont="1" applyNumberFormat="1"/>
    <xf borderId="14" fillId="0" fontId="45" numFmtId="0" xfId="0" applyBorder="1" applyFont="1"/>
    <xf borderId="14" fillId="0" fontId="10" numFmtId="0" xfId="0" applyBorder="1" applyFont="1"/>
    <xf borderId="14" fillId="0" fontId="12" numFmtId="167" xfId="0" applyBorder="1" applyFont="1" applyNumberFormat="1"/>
    <xf borderId="11" fillId="6" fontId="17" numFmtId="0" xfId="0" applyAlignment="1" applyBorder="1" applyFont="1">
      <alignment horizontal="center"/>
    </xf>
    <xf borderId="7" fillId="6" fontId="34" numFmtId="0" xfId="0" applyBorder="1" applyFont="1"/>
    <xf borderId="7" fillId="6" fontId="46" numFmtId="167" xfId="0" applyBorder="1" applyFont="1" applyNumberFormat="1"/>
    <xf borderId="7" fillId="6" fontId="46" numFmtId="0" xfId="0" applyBorder="1" applyFont="1"/>
    <xf borderId="56" fillId="6" fontId="10" numFmtId="0" xfId="0" applyBorder="1" applyFont="1"/>
    <xf borderId="11" fillId="6" fontId="12" numFmtId="0" xfId="0" applyBorder="1" applyFont="1"/>
    <xf borderId="13" fillId="6" fontId="10" numFmtId="3" xfId="0" applyBorder="1" applyFont="1" applyNumberFormat="1"/>
    <xf borderId="7" fillId="2" fontId="1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0" fillId="0" fontId="10" numFmtId="0" xfId="0" applyFont="1"/>
    <xf borderId="12" fillId="6" fontId="34" numFmtId="0" xfId="0" applyBorder="1" applyFont="1"/>
    <xf borderId="12" fillId="6" fontId="46" numFmtId="0" xfId="0" applyBorder="1" applyFont="1"/>
    <xf borderId="13" fillId="6" fontId="10" numFmtId="0" xfId="0" applyBorder="1" applyFont="1"/>
    <xf borderId="12" fillId="6" fontId="17" numFmtId="0" xfId="0" applyAlignment="1" applyBorder="1" applyFont="1">
      <alignment horizontal="center"/>
    </xf>
    <xf borderId="13" fillId="6" fontId="17" numFmtId="0" xfId="0" applyAlignment="1" applyBorder="1" applyFont="1">
      <alignment horizontal="center"/>
    </xf>
    <xf borderId="89" fillId="0" fontId="47" numFmtId="0" xfId="0" applyBorder="1" applyFont="1"/>
    <xf borderId="89" fillId="0" fontId="7" numFmtId="0" xfId="0" applyBorder="1" applyFont="1"/>
    <xf borderId="89" fillId="0" fontId="7" numFmtId="167" xfId="0" applyBorder="1" applyFont="1" applyNumberFormat="1"/>
    <xf borderId="14" fillId="0" fontId="48" numFmtId="167" xfId="0" applyAlignment="1" applyBorder="1" applyFont="1" applyNumberFormat="1">
      <alignment horizontal="right"/>
    </xf>
    <xf borderId="10" fillId="8" fontId="14" numFmtId="0" xfId="0" applyAlignment="1" applyBorder="1" applyFont="1">
      <alignment horizontal="left"/>
    </xf>
    <xf borderId="4" fillId="8" fontId="13" numFmtId="171" xfId="0" applyAlignment="1" applyBorder="1" applyFont="1" applyNumberFormat="1">
      <alignment horizontal="right"/>
    </xf>
    <xf borderId="11" fillId="8" fontId="14" numFmtId="0" xfId="0" applyAlignment="1" applyBorder="1" applyFont="1">
      <alignment horizontal="right"/>
    </xf>
    <xf borderId="12" fillId="8" fontId="14" numFmtId="0" xfId="0" applyAlignment="1" applyBorder="1" applyFont="1">
      <alignment horizontal="right"/>
    </xf>
    <xf borderId="13" fillId="8" fontId="14" numFmtId="10" xfId="0" applyAlignment="1" applyBorder="1" applyFont="1" applyNumberFormat="1">
      <alignment horizontal="right"/>
    </xf>
    <xf borderId="14" fillId="0" fontId="48" numFmtId="0" xfId="0" applyBorder="1" applyFont="1"/>
    <xf borderId="14" fillId="0" fontId="7" numFmtId="0" xfId="0" applyBorder="1" applyFont="1"/>
    <xf borderId="14" fillId="16" fontId="7" numFmtId="0" xfId="0" applyBorder="1" applyFill="1" applyFont="1"/>
    <xf borderId="14" fillId="0" fontId="34" numFmtId="10" xfId="0" applyAlignment="1" applyBorder="1" applyFont="1" applyNumberFormat="1">
      <alignment horizontal="right"/>
    </xf>
    <xf borderId="61" fillId="8" fontId="13" numFmtId="171" xfId="0" applyAlignment="1" applyBorder="1" applyFont="1" applyNumberFormat="1">
      <alignment horizontal="right"/>
    </xf>
    <xf borderId="14" fillId="17" fontId="7" numFmtId="0" xfId="0" applyBorder="1" applyFill="1" applyFont="1"/>
    <xf borderId="14" fillId="18" fontId="7" numFmtId="0" xfId="0" applyBorder="1" applyFill="1" applyFont="1"/>
    <xf borderId="14" fillId="0" fontId="48" numFmtId="10" xfId="0" applyAlignment="1" applyBorder="1" applyFont="1" applyNumberFormat="1">
      <alignment horizontal="right"/>
    </xf>
    <xf borderId="14" fillId="19" fontId="7" numFmtId="0" xfId="0" applyBorder="1" applyFill="1" applyFont="1"/>
    <xf borderId="14" fillId="0" fontId="48" numFmtId="9" xfId="0" applyAlignment="1" applyBorder="1" applyFont="1" applyNumberFormat="1">
      <alignment horizontal="right"/>
    </xf>
    <xf borderId="55" fillId="8" fontId="14" numFmtId="0" xfId="0" applyAlignment="1" applyBorder="1" applyFont="1">
      <alignment horizontal="left"/>
    </xf>
    <xf borderId="56" fillId="8" fontId="13" numFmtId="171" xfId="0" applyAlignment="1" applyBorder="1" applyFont="1" applyNumberFormat="1">
      <alignment horizontal="right"/>
    </xf>
    <xf borderId="14" fillId="20" fontId="7" numFmtId="0" xfId="0" applyBorder="1" applyFill="1" applyFont="1"/>
    <xf borderId="14" fillId="0" fontId="34" numFmtId="167" xfId="0" applyAlignment="1" applyBorder="1" applyFont="1" applyNumberFormat="1">
      <alignment horizontal="right"/>
    </xf>
    <xf borderId="8" fillId="8" fontId="14" numFmtId="166" xfId="0" applyAlignment="1" applyBorder="1" applyFont="1" applyNumberFormat="1">
      <alignment horizontal="right"/>
    </xf>
    <xf borderId="14" fillId="0" fontId="47" numFmtId="0" xfId="0" applyBorder="1" applyFont="1"/>
    <xf borderId="14" fillId="0" fontId="7" numFmtId="167" xfId="0" applyBorder="1" applyFont="1" applyNumberFormat="1"/>
    <xf borderId="14" fillId="21" fontId="7" numFmtId="0" xfId="0" applyBorder="1" applyFill="1" applyFont="1"/>
    <xf borderId="90" fillId="0" fontId="2" numFmtId="0" xfId="0" applyBorder="1" applyFont="1"/>
    <xf borderId="51" fillId="6" fontId="17" numFmtId="0" xfId="0" applyAlignment="1" applyBorder="1" applyFont="1">
      <alignment horizontal="center"/>
    </xf>
    <xf borderId="59" fillId="6" fontId="17" numFmtId="0" xfId="0" applyAlignment="1" applyBorder="1" applyFont="1">
      <alignment horizontal="center"/>
    </xf>
    <xf borderId="60" fillId="6" fontId="17" numFmtId="0" xfId="0" applyAlignment="1" applyBorder="1" applyFont="1">
      <alignment horizontal="center"/>
    </xf>
    <xf borderId="51" fillId="8" fontId="14" numFmtId="0" xfId="0" applyAlignment="1" applyBorder="1" applyFont="1">
      <alignment horizontal="left"/>
    </xf>
    <xf borderId="59" fillId="8" fontId="13" numFmtId="166" xfId="0" applyAlignment="1" applyBorder="1" applyFont="1" applyNumberFormat="1">
      <alignment horizontal="right"/>
    </xf>
    <xf borderId="59" fillId="8" fontId="14" numFmtId="1" xfId="0" applyAlignment="1" applyBorder="1" applyFont="1" applyNumberFormat="1">
      <alignment horizontal="center"/>
    </xf>
    <xf borderId="60" fillId="8" fontId="14" numFmtId="10" xfId="0" applyAlignment="1" applyBorder="1" applyFont="1" applyNumberFormat="1">
      <alignment horizontal="left"/>
    </xf>
    <xf borderId="14" fillId="22" fontId="7" numFmtId="0" xfId="0" applyBorder="1" applyFill="1" applyFont="1"/>
    <xf borderId="4" fillId="8" fontId="14" numFmtId="1" xfId="0" applyAlignment="1" applyBorder="1" applyFont="1" applyNumberFormat="1">
      <alignment horizontal="center"/>
    </xf>
    <xf borderId="61" fillId="8" fontId="14" numFmtId="10" xfId="0" applyAlignment="1" applyBorder="1" applyFont="1" applyNumberFormat="1">
      <alignment horizontal="left"/>
    </xf>
    <xf borderId="14" fillId="0" fontId="17" numFmtId="0" xfId="0" applyBorder="1" applyFont="1"/>
    <xf borderId="14" fillId="0" fontId="46" numFmtId="167" xfId="0" applyAlignment="1" applyBorder="1" applyFont="1" applyNumberFormat="1">
      <alignment horizontal="right"/>
    </xf>
    <xf borderId="14" fillId="0" fontId="46" numFmtId="10" xfId="0" applyAlignment="1" applyBorder="1" applyFont="1" applyNumberFormat="1">
      <alignment horizontal="right"/>
    </xf>
    <xf borderId="7" fillId="8" fontId="13" numFmtId="171" xfId="0" applyAlignment="1" applyBorder="1" applyFont="1" applyNumberFormat="1">
      <alignment horizontal="right"/>
    </xf>
    <xf borderId="7" fillId="8" fontId="14" numFmtId="0" xfId="0" applyAlignment="1" applyBorder="1" applyFont="1">
      <alignment horizontal="left"/>
    </xf>
    <xf borderId="56" fillId="8" fontId="14" numFmtId="0" xfId="0" applyAlignment="1" applyBorder="1" applyFont="1">
      <alignment horizontal="left"/>
    </xf>
    <xf borderId="11" fillId="23" fontId="14" numFmtId="0" xfId="0" applyAlignment="1" applyBorder="1" applyFill="1" applyFont="1">
      <alignment horizontal="right"/>
    </xf>
    <xf borderId="12" fillId="23" fontId="14" numFmtId="0" xfId="0" applyAlignment="1" applyBorder="1" applyFont="1">
      <alignment horizontal="right"/>
    </xf>
    <xf borderId="13" fillId="23" fontId="14" numFmtId="0" xfId="0" applyAlignment="1" applyBorder="1" applyFont="1">
      <alignment horizontal="right"/>
    </xf>
    <xf borderId="14" fillId="24" fontId="7" numFmtId="0" xfId="0" applyBorder="1" applyFill="1" applyFont="1"/>
    <xf borderId="14" fillId="25" fontId="7" numFmtId="0" xfId="0" applyBorder="1" applyFill="1" applyFont="1"/>
    <xf borderId="8" fillId="6" fontId="17" numFmtId="0" xfId="0" applyAlignment="1" applyBorder="1" applyFont="1">
      <alignment horizontal="center"/>
    </xf>
    <xf borderId="8" fillId="8" fontId="14" numFmtId="0" xfId="0" applyAlignment="1" applyBorder="1" applyFont="1">
      <alignment horizontal="left"/>
    </xf>
    <xf borderId="8" fillId="8" fontId="13" numFmtId="4" xfId="0" applyAlignment="1" applyBorder="1" applyFont="1" applyNumberFormat="1">
      <alignment horizontal="right"/>
    </xf>
    <xf borderId="8" fillId="8" fontId="14" numFmtId="1" xfId="0" applyAlignment="1" applyBorder="1" applyFont="1" applyNumberFormat="1">
      <alignment horizontal="center"/>
    </xf>
    <xf borderId="8" fillId="8" fontId="14" numFmtId="4" xfId="0" applyAlignment="1" applyBorder="1" applyFont="1" applyNumberFormat="1">
      <alignment horizontal="left"/>
    </xf>
    <xf borderId="8" fillId="8" fontId="14" numFmtId="10" xfId="0" applyAlignment="1" applyBorder="1" applyFont="1" applyNumberFormat="1">
      <alignment horizontal="left"/>
    </xf>
    <xf borderId="14" fillId="0" fontId="17" numFmtId="167" xfId="0" applyAlignment="1" applyBorder="1" applyFont="1" applyNumberFormat="1">
      <alignment horizontal="right"/>
    </xf>
    <xf borderId="0" fillId="0" fontId="14" numFmtId="1" xfId="0" applyAlignment="1" applyFont="1" applyNumberFormat="1">
      <alignment horizontal="center"/>
    </xf>
    <xf borderId="0" fillId="0" fontId="14" numFmtId="10" xfId="0" applyAlignment="1" applyFont="1" applyNumberFormat="1">
      <alignment horizontal="left"/>
    </xf>
    <xf borderId="59" fillId="6" fontId="34" numFmtId="0" xfId="0" applyBorder="1" applyFont="1"/>
    <xf borderId="59" fillId="6" fontId="46" numFmtId="167" xfId="0" applyBorder="1" applyFont="1" applyNumberFormat="1"/>
    <xf borderId="8" fillId="8" fontId="14" numFmtId="0" xfId="0" applyAlignment="1" applyBorder="1" applyFont="1">
      <alignment horizontal="center"/>
    </xf>
    <xf borderId="0" fillId="0" fontId="14" numFmtId="0" xfId="0" applyAlignment="1" applyFont="1">
      <alignment horizontal="left"/>
    </xf>
    <xf borderId="91" fillId="2" fontId="1" numFmtId="0" xfId="0" applyAlignment="1" applyBorder="1" applyFont="1">
      <alignment horizontal="center" vertical="center"/>
    </xf>
    <xf borderId="91" fillId="11" fontId="16" numFmtId="10" xfId="0" applyAlignment="1" applyBorder="1" applyFont="1" applyNumberFormat="1">
      <alignment horizontal="center"/>
    </xf>
    <xf borderId="14" fillId="0" fontId="48" numFmtId="172" xfId="0" applyAlignment="1" applyBorder="1" applyFont="1" applyNumberFormat="1">
      <alignment horizontal="right"/>
    </xf>
    <xf borderId="12" fillId="6" fontId="46" numFmtId="167" xfId="0" applyBorder="1" applyFont="1" applyNumberFormat="1"/>
    <xf borderId="8" fillId="0" fontId="14" numFmtId="0" xfId="0" applyBorder="1" applyFont="1"/>
    <xf borderId="0" fillId="0" fontId="13" numFmtId="4" xfId="0" applyAlignment="1" applyFont="1" applyNumberFormat="1">
      <alignment horizontal="right"/>
    </xf>
    <xf borderId="0" fillId="0" fontId="14" numFmtId="0" xfId="0" applyAlignment="1" applyFont="1">
      <alignment horizontal="center"/>
    </xf>
    <xf borderId="14" fillId="0" fontId="7" numFmtId="10" xfId="0" applyBorder="1" applyFont="1" applyNumberFormat="1"/>
    <xf borderId="0" fillId="0" fontId="32" numFmtId="3" xfId="0" applyAlignment="1" applyFont="1" applyNumberFormat="1">
      <alignment horizontal="right"/>
    </xf>
    <xf borderId="0" fillId="0" fontId="32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6" fillId="8" fontId="13" numFmtId="0" xfId="0" applyBorder="1" applyFont="1"/>
    <xf borderId="92" fillId="8" fontId="14" numFmtId="0" xfId="0" applyBorder="1" applyFont="1"/>
    <xf borderId="93" fillId="8" fontId="13" numFmtId="9" xfId="0" applyAlignment="1" applyBorder="1" applyFont="1" applyNumberFormat="1">
      <alignment horizontal="right"/>
    </xf>
    <xf borderId="57" fillId="14" fontId="14" numFmtId="0" xfId="0" applyAlignment="1" applyBorder="1" applyFont="1">
      <alignment horizontal="center"/>
    </xf>
    <xf borderId="94" fillId="8" fontId="14" numFmtId="0" xfId="0" applyBorder="1" applyFont="1"/>
    <xf borderId="95" fillId="8" fontId="13" numFmtId="10" xfId="0" applyBorder="1" applyFont="1" applyNumberFormat="1"/>
    <xf borderId="92" fillId="8" fontId="14" numFmtId="0" xfId="0" applyAlignment="1" applyBorder="1" applyFont="1">
      <alignment readingOrder="0"/>
    </xf>
    <xf borderId="93" fillId="8" fontId="13" numFmtId="167" xfId="0" applyAlignment="1" applyBorder="1" applyFont="1" applyNumberFormat="1">
      <alignment horizontal="right"/>
    </xf>
    <xf borderId="93" fillId="8" fontId="13" numFmtId="0" xfId="0" applyBorder="1" applyFont="1"/>
    <xf borderId="93" fillId="8" fontId="13" numFmtId="167" xfId="0" applyBorder="1" applyFont="1" applyNumberFormat="1"/>
    <xf borderId="8" fillId="9" fontId="37" numFmtId="0" xfId="0" applyAlignment="1" applyBorder="1" applyFont="1">
      <alignment horizontal="center"/>
    </xf>
    <xf borderId="93" fillId="8" fontId="11" numFmtId="177" xfId="0" applyBorder="1" applyFont="1" applyNumberFormat="1"/>
    <xf borderId="93" fillId="8" fontId="13" numFmtId="10" xfId="0" applyBorder="1" applyFont="1" applyNumberFormat="1"/>
    <xf borderId="8" fillId="10" fontId="14" numFmtId="9" xfId="0" applyAlignment="1" applyBorder="1" applyFont="1" applyNumberFormat="1">
      <alignment horizontal="center"/>
    </xf>
    <xf borderId="93" fillId="8" fontId="13" numFmtId="178" xfId="0" applyBorder="1" applyFont="1" applyNumberFormat="1"/>
    <xf borderId="93" fillId="8" fontId="13" numFmtId="9" xfId="0" applyBorder="1" applyFont="1" applyNumberFormat="1"/>
    <xf borderId="96" fillId="8" fontId="14" numFmtId="0" xfId="0" applyBorder="1" applyFont="1"/>
    <xf borderId="97" fillId="8" fontId="13" numFmtId="10" xfId="0" applyBorder="1" applyFont="1" applyNumberFormat="1"/>
    <xf borderId="93" fillId="8" fontId="13" numFmtId="174" xfId="0" applyBorder="1" applyFont="1" applyNumberFormat="1"/>
    <xf borderId="60" fillId="8" fontId="13" numFmtId="3" xfId="0" applyBorder="1" applyFont="1" applyNumberFormat="1"/>
    <xf borderId="61" fillId="8" fontId="13" numFmtId="0" xfId="0" applyBorder="1" applyFont="1"/>
    <xf borderId="98" fillId="8" fontId="14" numFmtId="0" xfId="0" applyAlignment="1" applyBorder="1" applyFont="1">
      <alignment readingOrder="0"/>
    </xf>
    <xf borderId="99" fillId="8" fontId="13" numFmtId="9" xfId="0" applyAlignment="1" applyBorder="1" applyFont="1" applyNumberFormat="1">
      <alignment readingOrder="0"/>
    </xf>
    <xf borderId="98" fillId="8" fontId="14" numFmtId="0" xfId="0" applyBorder="1" applyFont="1"/>
    <xf borderId="99" fillId="8" fontId="13" numFmtId="4" xfId="0" applyBorder="1" applyFont="1" applyNumberFormat="1"/>
    <xf borderId="99" fillId="8" fontId="13" numFmtId="167" xfId="0" applyBorder="1" applyFont="1" applyNumberFormat="1"/>
    <xf borderId="97" fillId="8" fontId="13" numFmtId="9" xfId="0" applyBorder="1" applyFont="1" applyNumberFormat="1"/>
    <xf borderId="10" fillId="8" fontId="14" numFmtId="0" xfId="0" applyAlignment="1" applyBorder="1" applyFont="1">
      <alignment readingOrder="0"/>
    </xf>
    <xf borderId="100" fillId="8" fontId="13" numFmtId="0" xfId="0" applyAlignment="1" applyBorder="1" applyFont="1">
      <alignment readingOrder="0"/>
    </xf>
    <xf borderId="61" fillId="8" fontId="13" numFmtId="179" xfId="0" applyAlignment="1" applyBorder="1" applyFont="1" applyNumberFormat="1">
      <alignment horizontal="right"/>
    </xf>
    <xf borderId="101" fillId="8" fontId="14" numFmtId="0" xfId="0" applyAlignment="1" applyBorder="1" applyFont="1">
      <alignment readingOrder="0"/>
    </xf>
    <xf borderId="97" fillId="8" fontId="13" numFmtId="2" xfId="0" applyBorder="1" applyFont="1" applyNumberFormat="1"/>
    <xf borderId="59" fillId="6" fontId="1" numFmtId="0" xfId="0" applyAlignment="1" applyBorder="1" applyFont="1">
      <alignment horizontal="center"/>
    </xf>
    <xf borderId="60" fillId="6" fontId="1" numFmtId="0" xfId="0" applyAlignment="1" applyBorder="1" applyFont="1">
      <alignment horizontal="center"/>
    </xf>
    <xf borderId="59" fillId="8" fontId="14" numFmtId="171" xfId="0" applyAlignment="1" applyBorder="1" applyFont="1" applyNumberFormat="1">
      <alignment horizontal="right"/>
    </xf>
    <xf borderId="59" fillId="8" fontId="14" numFmtId="166" xfId="0" applyAlignment="1" applyBorder="1" applyFont="1" applyNumberFormat="1">
      <alignment horizontal="right"/>
    </xf>
    <xf borderId="60" fillId="8" fontId="14" numFmtId="166" xfId="0" applyAlignment="1" applyBorder="1" applyFont="1" applyNumberFormat="1">
      <alignment horizontal="right"/>
    </xf>
    <xf borderId="4" fillId="8" fontId="14" numFmtId="171" xfId="0" applyAlignment="1" applyBorder="1" applyFont="1" applyNumberFormat="1">
      <alignment horizontal="right"/>
    </xf>
    <xf borderId="10" fillId="8" fontId="19" numFmtId="0" xfId="0" applyBorder="1" applyFont="1"/>
    <xf borderId="61" fillId="8" fontId="14" numFmtId="171" xfId="0" applyAlignment="1" applyBorder="1" applyFont="1" applyNumberFormat="1">
      <alignment horizontal="right"/>
    </xf>
    <xf borderId="0" fillId="0" fontId="10" numFmtId="166" xfId="0" applyFont="1" applyNumberFormat="1"/>
    <xf borderId="8" fillId="2" fontId="14" numFmtId="0" xfId="0" applyAlignment="1" applyBorder="1" applyFont="1">
      <alignment horizontal="center"/>
    </xf>
    <xf borderId="59" fillId="26" fontId="49" numFmtId="171" xfId="0" applyAlignment="1" applyBorder="1" applyFill="1" applyFont="1" applyNumberFormat="1">
      <alignment horizontal="right"/>
    </xf>
    <xf borderId="60" fillId="26" fontId="49" numFmtId="171" xfId="0" applyAlignment="1" applyBorder="1" applyFont="1" applyNumberFormat="1">
      <alignment horizontal="right"/>
    </xf>
    <xf borderId="10" fillId="8" fontId="19" numFmtId="0" xfId="0" applyAlignment="1" applyBorder="1" applyFont="1">
      <alignment readingOrder="0"/>
    </xf>
    <xf borderId="102" fillId="8" fontId="14" numFmtId="0" xfId="0" applyBorder="1" applyFont="1"/>
    <xf borderId="0" fillId="0" fontId="10" numFmtId="171" xfId="0" applyFont="1" applyNumberFormat="1"/>
    <xf borderId="55" fillId="8" fontId="19" numFmtId="0" xfId="0" applyBorder="1" applyFont="1"/>
    <xf borderId="7" fillId="8" fontId="13" numFmtId="10" xfId="0" applyAlignment="1" applyBorder="1" applyFont="1" applyNumberFormat="1">
      <alignment horizontal="right"/>
    </xf>
    <xf borderId="56" fillId="8" fontId="13" numFmtId="10" xfId="0" applyAlignment="1" applyBorder="1" applyFont="1" applyNumberFormat="1">
      <alignment horizontal="right"/>
    </xf>
    <xf borderId="59" fillId="26" fontId="49" numFmtId="171" xfId="0" applyAlignment="1" applyBorder="1" applyFont="1" applyNumberFormat="1">
      <alignment horizontal="center"/>
    </xf>
    <xf borderId="60" fillId="26" fontId="49" numFmtId="171" xfId="0" applyAlignment="1" applyBorder="1" applyFont="1" applyNumberFormat="1">
      <alignment horizontal="center"/>
    </xf>
    <xf borderId="0" fillId="0" fontId="10" numFmtId="9" xfId="0" applyFont="1" applyNumberFormat="1"/>
    <xf borderId="0" fillId="0" fontId="10" numFmtId="10" xfId="0" applyFont="1" applyNumberFormat="1"/>
    <xf borderId="4" fillId="8" fontId="13" numFmtId="1" xfId="0" applyAlignment="1" applyBorder="1" applyFont="1" applyNumberFormat="1">
      <alignment horizontal="right"/>
    </xf>
    <xf borderId="61" fillId="8" fontId="13" numFmtId="1" xfId="0" applyAlignment="1" applyBorder="1" applyFont="1" applyNumberFormat="1">
      <alignment horizontal="right"/>
    </xf>
    <xf borderId="103" fillId="8" fontId="14" numFmtId="0" xfId="0" applyBorder="1" applyFont="1"/>
    <xf borderId="104" fillId="8" fontId="13" numFmtId="1" xfId="0" applyAlignment="1" applyBorder="1" applyFont="1" applyNumberFormat="1">
      <alignment horizontal="right"/>
    </xf>
    <xf borderId="105" fillId="8" fontId="13" numFmtId="1" xfId="0" applyAlignment="1" applyBorder="1" applyFont="1" applyNumberFormat="1">
      <alignment horizontal="right"/>
    </xf>
    <xf borderId="7" fillId="8" fontId="13" numFmtId="1" xfId="0" applyAlignment="1" applyBorder="1" applyFont="1" applyNumberFormat="1">
      <alignment horizontal="right"/>
    </xf>
    <xf borderId="56" fillId="8" fontId="13" numFmtId="1" xfId="0" applyAlignment="1" applyBorder="1" applyFont="1" applyNumberFormat="1">
      <alignment horizontal="right"/>
    </xf>
    <xf borderId="51" fillId="8" fontId="50" numFmtId="0" xfId="0" applyBorder="1" applyFont="1"/>
    <xf borderId="59" fillId="8" fontId="13" numFmtId="171" xfId="0" applyAlignment="1" applyBorder="1" applyFont="1" applyNumberFormat="1">
      <alignment horizontal="right"/>
    </xf>
    <xf borderId="10" fillId="8" fontId="51" numFmtId="0" xfId="0" applyBorder="1" applyFont="1"/>
    <xf borderId="92" fillId="8" fontId="52" numFmtId="0" xfId="0" applyBorder="1" applyFont="1"/>
    <xf borderId="10" fillId="8" fontId="53" numFmtId="0" xfId="0" applyBorder="1" applyFont="1"/>
    <xf borderId="0" fillId="0" fontId="54" numFmtId="0" xfId="0" applyFont="1"/>
    <xf borderId="55" fillId="8" fontId="55" numFmtId="0" xfId="0" applyBorder="1" applyFont="1"/>
    <xf borderId="7" fillId="8" fontId="13" numFmtId="166" xfId="0" applyAlignment="1" applyBorder="1" applyFont="1" applyNumberFormat="1">
      <alignment horizontal="right"/>
    </xf>
    <xf borderId="8" fillId="9" fontId="14" numFmtId="0" xfId="0" applyAlignment="1" applyBorder="1" applyFont="1">
      <alignment horizontal="center"/>
    </xf>
    <xf borderId="11" fillId="6" fontId="1" numFmtId="166" xfId="0" applyAlignment="1" applyBorder="1" applyFont="1" applyNumberFormat="1">
      <alignment horizontal="center"/>
    </xf>
    <xf borderId="12" fillId="6" fontId="1" numFmtId="166" xfId="0" applyAlignment="1" applyBorder="1" applyFont="1" applyNumberFormat="1">
      <alignment horizontal="center"/>
    </xf>
    <xf borderId="13" fillId="6" fontId="1" numFmtId="166" xfId="0" applyAlignment="1" applyBorder="1" applyFont="1" applyNumberFormat="1">
      <alignment horizontal="center"/>
    </xf>
    <xf borderId="8" fillId="10" fontId="13" numFmtId="9" xfId="0" applyAlignment="1" applyBorder="1" applyFont="1" applyNumberFormat="1">
      <alignment horizontal="center"/>
    </xf>
    <xf borderId="4" fillId="8" fontId="10" numFmtId="1" xfId="0" applyBorder="1" applyFont="1" applyNumberFormat="1"/>
    <xf borderId="55" fillId="6" fontId="1" numFmtId="166" xfId="0" applyAlignment="1" applyBorder="1" applyFont="1" applyNumberFormat="1">
      <alignment horizontal="center"/>
    </xf>
    <xf borderId="7" fillId="6" fontId="1" numFmtId="166" xfId="0" applyAlignment="1" applyBorder="1" applyFont="1" applyNumberFormat="1">
      <alignment horizontal="center"/>
    </xf>
    <xf borderId="56" fillId="6" fontId="1" numFmtId="166" xfId="0" applyAlignment="1" applyBorder="1" applyFont="1" applyNumberFormat="1">
      <alignment horizontal="center"/>
    </xf>
    <xf borderId="4" fillId="2" fontId="14" numFmtId="0" xfId="0" applyBorder="1" applyFont="1"/>
    <xf borderId="51" fillId="2" fontId="14" numFmtId="0" xfId="0" applyBorder="1" applyFont="1"/>
    <xf borderId="60" fillId="2" fontId="13" numFmtId="0" xfId="0" applyBorder="1" applyFont="1"/>
    <xf borderId="106" fillId="27" fontId="13" numFmtId="0" xfId="0" applyBorder="1" applyFill="1" applyFont="1"/>
    <xf borderId="107" fillId="27" fontId="13" numFmtId="171" xfId="0" applyBorder="1" applyFont="1" applyNumberFormat="1"/>
    <xf borderId="108" fillId="27" fontId="13" numFmtId="0" xfId="0" applyBorder="1" applyFont="1"/>
    <xf borderId="109" fillId="27" fontId="13" numFmtId="171" xfId="0" applyBorder="1" applyFont="1" applyNumberFormat="1"/>
    <xf borderId="109" fillId="27" fontId="13" numFmtId="171" xfId="0" applyAlignment="1" applyBorder="1" applyFont="1" applyNumberFormat="1">
      <alignment horizontal="center"/>
    </xf>
    <xf borderId="110" fillId="27" fontId="13" numFmtId="171" xfId="0" applyAlignment="1" applyBorder="1" applyFont="1" applyNumberFormat="1">
      <alignment horizontal="center"/>
    </xf>
    <xf borderId="111" fillId="27" fontId="13" numFmtId="0" xfId="0" applyBorder="1" applyFont="1"/>
    <xf borderId="112" fillId="27" fontId="13" numFmtId="171" xfId="0" applyBorder="1" applyFont="1" applyNumberFormat="1"/>
    <xf borderId="113" fillId="27" fontId="13" numFmtId="0" xfId="0" applyBorder="1" applyFont="1"/>
    <xf borderId="114" fillId="27" fontId="13" numFmtId="171" xfId="0" applyAlignment="1" applyBorder="1" applyFont="1" applyNumberFormat="1">
      <alignment horizontal="center"/>
    </xf>
    <xf borderId="114" fillId="27" fontId="13" numFmtId="171" xfId="0" applyBorder="1" applyFont="1" applyNumberFormat="1"/>
    <xf borderId="115" fillId="27" fontId="13" numFmtId="171" xfId="0" applyBorder="1" applyFont="1" applyNumberFormat="1"/>
    <xf borderId="113" fillId="27" fontId="56" numFmtId="0" xfId="0" applyBorder="1" applyFont="1"/>
    <xf borderId="113" fillId="27" fontId="57" numFmtId="0" xfId="0" applyBorder="1" applyFont="1"/>
    <xf borderId="116" fillId="27" fontId="13" numFmtId="0" xfId="0" applyBorder="1" applyFont="1"/>
    <xf borderId="117" fillId="27" fontId="13" numFmtId="171" xfId="0" applyBorder="1" applyFont="1" applyNumberFormat="1"/>
    <xf borderId="118" fillId="27" fontId="13" numFmtId="0" xfId="0" applyBorder="1" applyFont="1"/>
    <xf borderId="119" fillId="27" fontId="13" numFmtId="171" xfId="0" applyAlignment="1" applyBorder="1" applyFont="1" applyNumberFormat="1">
      <alignment horizontal="center"/>
    </xf>
    <xf borderId="119" fillId="27" fontId="13" numFmtId="171" xfId="0" applyBorder="1" applyFont="1" applyNumberFormat="1"/>
    <xf borderId="120" fillId="27" fontId="13" numFmtId="171" xfId="0" applyBorder="1" applyFont="1" applyNumberFormat="1"/>
    <xf borderId="121" fillId="27" fontId="13" numFmtId="171" xfId="0" applyBorder="1" applyFont="1" applyNumberFormat="1"/>
    <xf borderId="122" fillId="27" fontId="13" numFmtId="171" xfId="0" applyAlignment="1" applyBorder="1" applyFont="1" applyNumberFormat="1">
      <alignment horizontal="center"/>
    </xf>
    <xf borderId="122" fillId="27" fontId="13" numFmtId="171" xfId="0" applyBorder="1" applyFont="1" applyNumberFormat="1"/>
    <xf borderId="123" fillId="27" fontId="14" numFmtId="0" xfId="0" applyBorder="1" applyFont="1"/>
    <xf borderId="124" fillId="27" fontId="14" numFmtId="171" xfId="0" applyBorder="1" applyFont="1" applyNumberFormat="1"/>
    <xf borderId="125" fillId="27" fontId="14" numFmtId="171" xfId="0" applyBorder="1" applyFont="1" applyNumberFormat="1"/>
    <xf borderId="126" fillId="27" fontId="13" numFmtId="0" xfId="0" applyBorder="1" applyFont="1"/>
    <xf borderId="127" fillId="27" fontId="13" numFmtId="171" xfId="0" applyBorder="1" applyFont="1" applyNumberFormat="1"/>
    <xf borderId="128" fillId="27" fontId="13" numFmtId="0" xfId="0" applyBorder="1" applyFont="1"/>
    <xf borderId="129" fillId="27" fontId="13" numFmtId="171" xfId="0" applyAlignment="1" applyBorder="1" applyFont="1" applyNumberFormat="1">
      <alignment horizontal="center"/>
    </xf>
    <xf borderId="129" fillId="27" fontId="13" numFmtId="171" xfId="0" applyBorder="1" applyFont="1" applyNumberFormat="1"/>
    <xf borderId="130" fillId="27" fontId="13" numFmtId="171" xfId="0" applyAlignment="1" applyBorder="1" applyFont="1" applyNumberFormat="1">
      <alignment horizontal="center"/>
    </xf>
    <xf borderId="0" fillId="0" fontId="13" numFmtId="171" xfId="0" applyFont="1" applyNumberFormat="1"/>
    <xf borderId="121" fillId="27" fontId="13" numFmtId="171" xfId="0" applyAlignment="1" applyBorder="1" applyFont="1" applyNumberFormat="1">
      <alignment horizontal="center"/>
    </xf>
    <xf borderId="112" fillId="27" fontId="13" numFmtId="171" xfId="0" applyAlignment="1" applyBorder="1" applyFont="1" applyNumberFormat="1">
      <alignment horizontal="center"/>
    </xf>
    <xf borderId="116" fillId="27" fontId="58" numFmtId="0" xfId="0" applyBorder="1" applyFont="1"/>
    <xf borderId="117" fillId="27" fontId="13" numFmtId="171" xfId="0" applyAlignment="1" applyBorder="1" applyFont="1" applyNumberFormat="1">
      <alignment horizontal="center"/>
    </xf>
    <xf borderId="111" fillId="27" fontId="59" numFmtId="0" xfId="0" applyBorder="1" applyFont="1"/>
    <xf borderId="114" fillId="27" fontId="13" numFmtId="0" xfId="0" applyAlignment="1" applyBorder="1" applyFont="1">
      <alignment horizontal="center"/>
    </xf>
    <xf borderId="115" fillId="27" fontId="13" numFmtId="0" xfId="0" applyAlignment="1" applyBorder="1" applyFont="1">
      <alignment horizontal="center"/>
    </xf>
    <xf borderId="126" fillId="27" fontId="60" numFmtId="0" xfId="0" applyBorder="1" applyFont="1"/>
    <xf borderId="131" fillId="27" fontId="13" numFmtId="167" xfId="0" applyAlignment="1" applyBorder="1" applyFont="1" applyNumberFormat="1">
      <alignment horizontal="center"/>
    </xf>
    <xf borderId="127" fillId="27" fontId="13" numFmtId="167" xfId="0" applyAlignment="1" applyBorder="1" applyFont="1" applyNumberFormat="1">
      <alignment horizontal="center"/>
    </xf>
    <xf borderId="114" fillId="27" fontId="13" numFmtId="167" xfId="0" applyAlignment="1" applyBorder="1" applyFont="1" applyNumberFormat="1">
      <alignment horizontal="center"/>
    </xf>
    <xf borderId="115" fillId="27" fontId="13" numFmtId="167" xfId="0" applyAlignment="1" applyBorder="1" applyFont="1" applyNumberFormat="1">
      <alignment horizontal="center"/>
    </xf>
    <xf borderId="0" fillId="0" fontId="13" numFmtId="167" xfId="0" applyAlignment="1" applyFont="1" applyNumberFormat="1">
      <alignment horizontal="center"/>
    </xf>
    <xf borderId="59" fillId="2" fontId="14" numFmtId="0" xfId="0" applyBorder="1" applyFont="1"/>
    <xf borderId="60" fillId="2" fontId="14" numFmtId="0" xfId="0" applyBorder="1" applyFont="1"/>
    <xf borderId="123" fillId="27" fontId="13" numFmtId="0" xfId="0" applyBorder="1" applyFont="1"/>
    <xf borderId="124" fillId="27" fontId="14" numFmtId="167" xfId="0" applyAlignment="1" applyBorder="1" applyFont="1" applyNumberFormat="1">
      <alignment horizontal="center"/>
    </xf>
    <xf borderId="125" fillId="27" fontId="14" numFmtId="167" xfId="0" applyAlignment="1" applyBorder="1" applyFont="1" applyNumberFormat="1">
      <alignment horizontal="center"/>
    </xf>
    <xf borderId="0" fillId="0" fontId="31" numFmtId="0" xfId="0" applyFont="1"/>
    <xf borderId="0" fillId="0" fontId="10" numFmtId="167" xfId="0" applyFont="1" applyNumberFormat="1"/>
    <xf borderId="132" fillId="0" fontId="2" numFmtId="0" xfId="0" applyBorder="1" applyFont="1"/>
    <xf borderId="11" fillId="6" fontId="1" numFmtId="0" xfId="0" applyAlignment="1" applyBorder="1" applyFont="1">
      <alignment horizontal="center"/>
    </xf>
    <xf borderId="12" fillId="28" fontId="1" numFmtId="0" xfId="0" applyAlignment="1" applyBorder="1" applyFill="1" applyFont="1">
      <alignment horizontal="center"/>
    </xf>
    <xf borderId="133" fillId="28" fontId="14" numFmtId="0" xfId="0" applyBorder="1" applyFont="1"/>
    <xf borderId="133" fillId="28" fontId="14" numFmtId="0" xfId="0" applyAlignment="1" applyBorder="1" applyFont="1">
      <alignment readingOrder="0"/>
    </xf>
    <xf borderId="134" fillId="28" fontId="14" numFmtId="0" xfId="0" applyAlignment="1" applyBorder="1" applyFont="1">
      <alignment readingOrder="0"/>
    </xf>
    <xf borderId="0" fillId="0" fontId="61" numFmtId="0" xfId="0" applyFont="1"/>
    <xf borderId="51" fillId="27" fontId="62" numFmtId="0" xfId="0" applyBorder="1" applyFont="1"/>
    <xf borderId="59" fillId="27" fontId="13" numFmtId="0" xfId="0" applyBorder="1" applyFont="1"/>
    <xf borderId="59" fillId="27" fontId="13" numFmtId="0" xfId="0" applyAlignment="1" applyBorder="1" applyFont="1">
      <alignment horizontal="right"/>
    </xf>
    <xf borderId="59" fillId="27" fontId="13" numFmtId="3" xfId="0" applyAlignment="1" applyBorder="1" applyFont="1" applyNumberFormat="1">
      <alignment horizontal="right"/>
    </xf>
    <xf borderId="59" fillId="27" fontId="13" numFmtId="167" xfId="0" applyAlignment="1" applyBorder="1" applyFont="1" applyNumberFormat="1">
      <alignment horizontal="right"/>
    </xf>
    <xf borderId="107" fillId="27" fontId="13" numFmtId="167" xfId="0" applyAlignment="1" applyBorder="1" applyFont="1" applyNumberFormat="1">
      <alignment horizontal="right"/>
    </xf>
    <xf borderId="0" fillId="0" fontId="61" numFmtId="167" xfId="0" applyFont="1" applyNumberFormat="1"/>
    <xf borderId="10" fillId="27" fontId="63" numFmtId="0" xfId="0" applyBorder="1" applyFont="1"/>
    <xf borderId="4" fillId="27" fontId="13" numFmtId="0" xfId="0" applyBorder="1" applyFont="1"/>
    <xf borderId="4" fillId="27" fontId="13" numFmtId="0" xfId="0" applyAlignment="1" applyBorder="1" applyFont="1">
      <alignment horizontal="right"/>
    </xf>
    <xf borderId="4" fillId="27" fontId="13" numFmtId="3" xfId="0" applyAlignment="1" applyBorder="1" applyFont="1" applyNumberFormat="1">
      <alignment horizontal="right"/>
    </xf>
    <xf borderId="4" fillId="27" fontId="13" numFmtId="167" xfId="0" applyAlignment="1" applyBorder="1" applyFont="1" applyNumberFormat="1">
      <alignment horizontal="right"/>
    </xf>
    <xf borderId="61" fillId="27" fontId="13" numFmtId="167" xfId="0" applyAlignment="1" applyBorder="1" applyFont="1" applyNumberFormat="1">
      <alignment horizontal="right"/>
    </xf>
    <xf borderId="4" fillId="27" fontId="13" numFmtId="4" xfId="0" applyAlignment="1" applyBorder="1" applyFont="1" applyNumberFormat="1">
      <alignment horizontal="right"/>
    </xf>
    <xf borderId="55" fillId="27" fontId="64" numFmtId="0" xfId="0" applyBorder="1" applyFont="1"/>
    <xf borderId="7" fillId="27" fontId="13" numFmtId="0" xfId="0" applyBorder="1" applyFont="1"/>
    <xf borderId="7" fillId="27" fontId="13" numFmtId="0" xfId="0" applyAlignment="1" applyBorder="1" applyFont="1">
      <alignment horizontal="right"/>
    </xf>
    <xf borderId="7" fillId="27" fontId="13" numFmtId="3" xfId="0" applyAlignment="1" applyBorder="1" applyFont="1" applyNumberFormat="1">
      <alignment horizontal="right"/>
    </xf>
    <xf borderId="135" fillId="0" fontId="10" numFmtId="0" xfId="0" applyBorder="1" applyFont="1"/>
    <xf borderId="11" fillId="14" fontId="14" numFmtId="0" xfId="0" applyBorder="1" applyFont="1"/>
    <xf borderId="8" fillId="14" fontId="37" numFmtId="1" xfId="0" applyAlignment="1" applyBorder="1" applyFont="1" applyNumberFormat="1">
      <alignment horizontal="right"/>
    </xf>
    <xf borderId="7" fillId="27" fontId="10" numFmtId="0" xfId="0" applyBorder="1" applyFont="1"/>
    <xf borderId="11" fillId="14" fontId="14" numFmtId="167" xfId="0" applyAlignment="1" applyBorder="1" applyFont="1" applyNumberFormat="1">
      <alignment horizontal="right"/>
    </xf>
    <xf borderId="8" fillId="14" fontId="14" numFmtId="167" xfId="0" applyAlignment="1" applyBorder="1" applyFont="1" applyNumberFormat="1">
      <alignment horizontal="right"/>
    </xf>
    <xf borderId="136" fillId="27" fontId="10" numFmtId="167" xfId="0" applyBorder="1" applyFont="1" applyNumberFormat="1"/>
    <xf borderId="4" fillId="13" fontId="10" numFmtId="0" xfId="0" applyBorder="1" applyFont="1"/>
    <xf borderId="59" fillId="13" fontId="14" numFmtId="0" xfId="0" applyBorder="1" applyFont="1"/>
    <xf borderId="59" fillId="13" fontId="37" numFmtId="0" xfId="0" applyAlignment="1" applyBorder="1" applyFont="1">
      <alignment horizontal="right"/>
    </xf>
    <xf borderId="4" fillId="13" fontId="14" numFmtId="0" xfId="0" applyAlignment="1" applyBorder="1" applyFont="1">
      <alignment horizontal="right"/>
    </xf>
    <xf borderId="4" fillId="13" fontId="37" numFmtId="0" xfId="0" applyAlignment="1" applyBorder="1" applyFont="1">
      <alignment horizontal="right"/>
    </xf>
    <xf borderId="4" fillId="13" fontId="65" numFmtId="0" xfId="0" applyAlignment="1" applyBorder="1" applyFont="1">
      <alignment horizontal="right"/>
    </xf>
    <xf borderId="57" fillId="14" fontId="14" numFmtId="0" xfId="0" applyAlignment="1" applyBorder="1" applyFont="1">
      <alignment horizontal="center" readingOrder="0"/>
    </xf>
    <xf borderId="67" fillId="6" fontId="1" numFmtId="0" xfId="0" applyAlignment="1" applyBorder="1" applyFont="1">
      <alignment horizontal="center"/>
    </xf>
    <xf borderId="134" fillId="28" fontId="14" numFmtId="0" xfId="0" applyBorder="1" applyFont="1"/>
    <xf borderId="137" fillId="0" fontId="66" numFmtId="0" xfId="0" applyBorder="1" applyFont="1"/>
    <xf borderId="58" fillId="27" fontId="13" numFmtId="0" xfId="0" applyBorder="1" applyFont="1"/>
    <xf borderId="113" fillId="0" fontId="67" numFmtId="0" xfId="0" applyBorder="1" applyFont="1"/>
    <xf borderId="138" fillId="27" fontId="13" numFmtId="0" xfId="0" applyBorder="1" applyFont="1"/>
    <xf borderId="112" fillId="27" fontId="13" numFmtId="167" xfId="0" applyAlignment="1" applyBorder="1" applyFont="1" applyNumberFormat="1">
      <alignment horizontal="right"/>
    </xf>
    <xf borderId="139" fillId="27" fontId="13" numFmtId="0" xfId="0" applyBorder="1" applyFont="1"/>
    <xf borderId="1" fillId="14" fontId="14" numFmtId="0" xfId="0" applyAlignment="1" applyBorder="1" applyFont="1">
      <alignment horizontal="center"/>
    </xf>
    <xf borderId="12" fillId="6" fontId="1" numFmtId="0" xfId="0" applyAlignment="1" applyBorder="1" applyFont="1">
      <alignment horizontal="center"/>
    </xf>
    <xf borderId="13" fillId="6" fontId="1" numFmtId="0" xfId="0" applyAlignment="1" applyBorder="1" applyFont="1">
      <alignment horizontal="center"/>
    </xf>
    <xf borderId="140" fillId="27" fontId="68" numFmtId="0" xfId="0" applyBorder="1" applyFont="1"/>
    <xf borderId="141" fillId="27" fontId="13" numFmtId="1" xfId="0" applyBorder="1" applyFont="1" applyNumberFormat="1"/>
    <xf borderId="129" fillId="27" fontId="13" numFmtId="167" xfId="0" applyBorder="1" applyFont="1" applyNumberFormat="1"/>
    <xf borderId="142" fillId="27" fontId="13" numFmtId="3" xfId="0" applyBorder="1" applyFont="1" applyNumberFormat="1"/>
    <xf borderId="143" fillId="27" fontId="13" numFmtId="167" xfId="0" applyBorder="1" applyFont="1" applyNumberFormat="1"/>
    <xf borderId="144" fillId="27" fontId="69" numFmtId="0" xfId="0" applyBorder="1" applyFont="1"/>
    <xf borderId="121" fillId="27" fontId="13" numFmtId="167" xfId="0" applyBorder="1" applyFont="1" applyNumberFormat="1"/>
    <xf borderId="0" fillId="0" fontId="11" numFmtId="167" xfId="0" applyFont="1" applyNumberFormat="1"/>
    <xf borderId="122" fillId="27" fontId="13" numFmtId="167" xfId="0" applyBorder="1" applyFont="1" applyNumberFormat="1"/>
    <xf borderId="123" fillId="27" fontId="10" numFmtId="0" xfId="0" applyBorder="1" applyFont="1"/>
    <xf borderId="145" fillId="27" fontId="10" numFmtId="0" xfId="0" applyBorder="1" applyFont="1"/>
    <xf borderId="145" fillId="27" fontId="10" numFmtId="167" xfId="0" applyBorder="1" applyFont="1" applyNumberFormat="1"/>
    <xf borderId="146" fillId="27" fontId="10" numFmtId="167" xfId="0" applyBorder="1" applyFont="1" applyNumberFormat="1"/>
    <xf borderId="147" fillId="14" fontId="14" numFmtId="167" xfId="0" applyAlignment="1" applyBorder="1" applyFont="1" applyNumberFormat="1">
      <alignment horizontal="right"/>
    </xf>
    <xf borderId="13" fillId="14" fontId="14" numFmtId="167" xfId="0" applyBorder="1" applyFont="1" applyNumberFormat="1"/>
    <xf borderId="142" fillId="27" fontId="13" numFmtId="1" xfId="0" applyBorder="1" applyFont="1" applyNumberFormat="1"/>
    <xf borderId="130" fillId="27" fontId="13" numFmtId="167" xfId="0" applyBorder="1" applyFont="1" applyNumberFormat="1"/>
    <xf borderId="146" fillId="27" fontId="10" numFmtId="0" xfId="0" applyBorder="1" applyFont="1"/>
    <xf borderId="147" fillId="14" fontId="14" numFmtId="0" xfId="0" applyAlignment="1" applyBorder="1" applyFont="1">
      <alignment horizontal="right"/>
    </xf>
    <xf borderId="0" fillId="0" fontId="61" numFmtId="3" xfId="0" applyFont="1" applyNumberFormat="1"/>
    <xf borderId="0" fillId="0" fontId="61" numFmtId="1" xfId="0" applyFont="1" applyNumberFormat="1"/>
    <xf borderId="0" fillId="0" fontId="61" numFmtId="4" xfId="0" applyFont="1" applyNumberFormat="1"/>
    <xf borderId="0" fillId="0" fontId="61" numFmtId="180" xfId="0" applyFont="1" applyNumberFormat="1"/>
    <xf borderId="51" fillId="8" fontId="14" numFmtId="0" xfId="0" applyAlignment="1" applyBorder="1" applyFont="1">
      <alignment readingOrder="0"/>
    </xf>
    <xf borderId="59" fillId="8" fontId="13" numFmtId="3" xfId="0" applyAlignment="1" applyBorder="1" applyFont="1" applyNumberFormat="1">
      <alignment horizontal="right" readingOrder="0"/>
    </xf>
    <xf borderId="4" fillId="8" fontId="13" numFmtId="166" xfId="0" applyAlignment="1" applyBorder="1" applyFont="1" applyNumberFormat="1">
      <alignment horizontal="right" readingOrder="0"/>
    </xf>
    <xf borderId="148" fillId="13" fontId="31" numFmtId="0" xfId="0" applyBorder="1" applyFont="1"/>
    <xf borderId="148" fillId="13" fontId="11" numFmtId="9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149" fillId="6" fontId="1" numFmtId="0" xfId="0" applyAlignment="1" applyBorder="1" applyFont="1">
      <alignment horizontal="center"/>
    </xf>
    <xf borderId="150" fillId="6" fontId="1" numFmtId="0" xfId="0" applyAlignment="1" applyBorder="1" applyFont="1">
      <alignment horizontal="center"/>
    </xf>
    <xf borderId="151" fillId="6" fontId="1" numFmtId="0" xfId="0" applyAlignment="1" applyBorder="1" applyFont="1">
      <alignment horizontal="center"/>
    </xf>
    <xf borderId="152" fillId="27" fontId="13" numFmtId="166" xfId="0" applyAlignment="1" applyBorder="1" applyFont="1" applyNumberFormat="1">
      <alignment horizontal="right"/>
    </xf>
    <xf borderId="153" fillId="27" fontId="13" numFmtId="166" xfId="0" applyAlignment="1" applyBorder="1" applyFont="1" applyNumberFormat="1">
      <alignment horizontal="right"/>
    </xf>
    <xf borderId="0" fillId="0" fontId="61" numFmtId="166" xfId="0" applyFont="1" applyNumberFormat="1"/>
    <xf borderId="154" fillId="27" fontId="13" numFmtId="166" xfId="0" applyAlignment="1" applyBorder="1" applyFont="1" applyNumberFormat="1">
      <alignment horizontal="right"/>
    </xf>
    <xf borderId="155" fillId="27" fontId="13" numFmtId="166" xfId="0" applyAlignment="1" applyBorder="1" applyFont="1" applyNumberFormat="1">
      <alignment horizontal="right"/>
    </xf>
    <xf borderId="59" fillId="8" fontId="14" numFmtId="0" xfId="0" applyBorder="1" applyFont="1"/>
    <xf borderId="152" fillId="0" fontId="13" numFmtId="166" xfId="0" applyAlignment="1" applyBorder="1" applyFont="1" applyNumberFormat="1">
      <alignment horizontal="right"/>
    </xf>
    <xf borderId="81" fillId="0" fontId="13" numFmtId="166" xfId="0" applyAlignment="1" applyBorder="1" applyFont="1" applyNumberFormat="1">
      <alignment horizontal="right"/>
    </xf>
    <xf borderId="153" fillId="0" fontId="13" numFmtId="166" xfId="0" applyAlignment="1" applyBorder="1" applyFont="1" applyNumberFormat="1">
      <alignment horizontal="right"/>
    </xf>
    <xf borderId="8" fillId="8" fontId="13" numFmtId="3" xfId="0" applyAlignment="1" applyBorder="1" applyFont="1" applyNumberFormat="1">
      <alignment horizontal="center"/>
    </xf>
    <xf borderId="154" fillId="27" fontId="13" numFmtId="4" xfId="0" applyAlignment="1" applyBorder="1" applyFont="1" applyNumberFormat="1">
      <alignment horizontal="right"/>
    </xf>
    <xf borderId="155" fillId="27" fontId="13" numFmtId="4" xfId="0" applyAlignment="1" applyBorder="1" applyFont="1" applyNumberFormat="1">
      <alignment horizontal="right"/>
    </xf>
    <xf borderId="154" fillId="0" fontId="13" numFmtId="166" xfId="0" applyAlignment="1" applyBorder="1" applyFont="1" applyNumberFormat="1">
      <alignment horizontal="right"/>
    </xf>
    <xf borderId="155" fillId="0" fontId="13" numFmtId="166" xfId="0" applyAlignment="1" applyBorder="1" applyFont="1" applyNumberFormat="1">
      <alignment horizontal="right"/>
    </xf>
    <xf borderId="156" fillId="27" fontId="13" numFmtId="4" xfId="0" applyAlignment="1" applyBorder="1" applyFont="1" applyNumberFormat="1">
      <alignment horizontal="right"/>
    </xf>
    <xf borderId="157" fillId="27" fontId="13" numFmtId="4" xfId="0" applyAlignment="1" applyBorder="1" applyFont="1" applyNumberFormat="1">
      <alignment horizontal="right"/>
    </xf>
    <xf borderId="8" fillId="14" fontId="14" numFmtId="0" xfId="0" applyAlignment="1" applyBorder="1" applyFont="1">
      <alignment horizontal="center" readingOrder="0"/>
    </xf>
    <xf borderId="8" fillId="0" fontId="13" numFmtId="167" xfId="0" applyAlignment="1" applyBorder="1" applyFont="1" applyNumberFormat="1">
      <alignment horizontal="center"/>
    </xf>
    <xf borderId="8" fillId="14" fontId="70" numFmtId="0" xfId="0" applyAlignment="1" applyBorder="1" applyFont="1">
      <alignment horizontal="center" readingOrder="0"/>
    </xf>
    <xf borderId="156" fillId="0" fontId="13" numFmtId="166" xfId="0" applyAlignment="1" applyBorder="1" applyFont="1" applyNumberFormat="1">
      <alignment horizontal="right"/>
    </xf>
    <xf borderId="157" fillId="0" fontId="13" numFmtId="166" xfId="0" applyAlignment="1" applyBorder="1" applyFont="1" applyNumberFormat="1">
      <alignment horizontal="right"/>
    </xf>
    <xf borderId="8" fillId="0" fontId="71" numFmtId="167" xfId="0" applyAlignment="1" applyBorder="1" applyFont="1" applyNumberFormat="1">
      <alignment horizontal="center"/>
    </xf>
    <xf borderId="65" fillId="2" fontId="1" numFmtId="0" xfId="0" applyAlignment="1" applyBorder="1" applyFont="1">
      <alignment horizontal="center"/>
    </xf>
    <xf borderId="61" fillId="14" fontId="1" numFmtId="166" xfId="0" applyAlignment="1" applyBorder="1" applyFont="1" applyNumberFormat="1">
      <alignment horizontal="center"/>
    </xf>
    <xf borderId="13" fillId="6" fontId="13" numFmtId="167" xfId="0" applyBorder="1" applyFont="1" applyNumberFormat="1"/>
    <xf borderId="152" fillId="8" fontId="13" numFmtId="166" xfId="0" applyAlignment="1" applyBorder="1" applyFont="1" applyNumberFormat="1">
      <alignment horizontal="right"/>
    </xf>
    <xf borderId="59" fillId="8" fontId="13" numFmtId="166" xfId="0" applyAlignment="1" applyBorder="1" applyFont="1" applyNumberFormat="1">
      <alignment horizontal="right"/>
    </xf>
    <xf borderId="153" fillId="8" fontId="13" numFmtId="166" xfId="0" applyAlignment="1" applyBorder="1" applyFont="1" applyNumberFormat="1">
      <alignment horizontal="right"/>
    </xf>
    <xf borderId="154" fillId="8" fontId="13" numFmtId="166" xfId="0" applyAlignment="1" applyBorder="1" applyFont="1" applyNumberFormat="1">
      <alignment horizontal="right"/>
    </xf>
    <xf borderId="155" fillId="8" fontId="13" numFmtId="166" xfId="0" applyAlignment="1" applyBorder="1" applyFont="1" applyNumberFormat="1">
      <alignment horizontal="right"/>
    </xf>
    <xf borderId="156" fillId="8" fontId="13" numFmtId="166" xfId="0" applyAlignment="1" applyBorder="1" applyFont="1" applyNumberFormat="1">
      <alignment horizontal="right"/>
    </xf>
    <xf borderId="157" fillId="8" fontId="13" numFmtId="166" xfId="0" applyAlignment="1" applyBorder="1" applyFont="1" applyNumberFormat="1">
      <alignment horizontal="right"/>
    </xf>
    <xf borderId="13" fillId="2" fontId="1" numFmtId="166" xfId="0" applyAlignment="1" applyBorder="1" applyFont="1" applyNumberFormat="1">
      <alignment horizontal="center"/>
    </xf>
    <xf borderId="60" fillId="14" fontId="1" numFmtId="166" xfId="0" applyAlignment="1" applyBorder="1" applyFont="1" applyNumberFormat="1">
      <alignment horizontal="center"/>
    </xf>
    <xf borderId="1" fillId="6" fontId="1" numFmtId="0" xfId="0" applyAlignment="1" applyBorder="1" applyFont="1">
      <alignment horizontal="center"/>
    </xf>
    <xf borderId="4" fillId="15" fontId="1" numFmtId="1" xfId="0" applyAlignment="1" applyBorder="1" applyFont="1" applyNumberFormat="1">
      <alignment horizontal="center"/>
    </xf>
    <xf borderId="0" fillId="0" fontId="10" numFmtId="0" xfId="0" applyAlignment="1" applyFont="1">
      <alignment horizontal="right"/>
    </xf>
    <xf borderId="4" fillId="29" fontId="3" numFmtId="1" xfId="0" applyAlignment="1" applyBorder="1" applyFill="1" applyFont="1" applyNumberFormat="1">
      <alignment horizontal="center"/>
    </xf>
    <xf borderId="11" fillId="29" fontId="3" numFmtId="1" xfId="0" applyAlignment="1" applyBorder="1" applyFont="1" applyNumberFormat="1">
      <alignment horizontal="center"/>
    </xf>
    <xf borderId="12" fillId="29" fontId="3" numFmtId="1" xfId="0" applyAlignment="1" applyBorder="1" applyFont="1" applyNumberFormat="1">
      <alignment horizontal="center"/>
    </xf>
    <xf borderId="13" fillId="29" fontId="3" numFmtId="1" xfId="0" applyAlignment="1" applyBorder="1" applyFont="1" applyNumberFormat="1">
      <alignment horizontal="center"/>
    </xf>
    <xf borderId="10" fillId="15" fontId="1" numFmtId="1" xfId="0" applyAlignment="1" applyBorder="1" applyFont="1" applyNumberFormat="1">
      <alignment horizontal="center"/>
    </xf>
    <xf borderId="61" fillId="15" fontId="1" numFmtId="1" xfId="0" applyAlignment="1" applyBorder="1" applyFont="1" applyNumberFormat="1">
      <alignment horizontal="center"/>
    </xf>
    <xf borderId="51" fillId="15" fontId="1" numFmtId="167" xfId="0" applyAlignment="1" applyBorder="1" applyFont="1" applyNumberFormat="1">
      <alignment horizontal="center"/>
    </xf>
    <xf borderId="59" fillId="15" fontId="1" numFmtId="167" xfId="0" applyAlignment="1" applyBorder="1" applyFont="1" applyNumberFormat="1">
      <alignment horizontal="center"/>
    </xf>
    <xf borderId="60" fillId="15" fontId="1" numFmtId="167" xfId="0" applyAlignment="1" applyBorder="1" applyFont="1" applyNumberFormat="1">
      <alignment horizontal="center"/>
    </xf>
    <xf borderId="11" fillId="8" fontId="13" numFmtId="167" xfId="0" applyAlignment="1" applyBorder="1" applyFont="1" applyNumberFormat="1">
      <alignment horizontal="center"/>
    </xf>
    <xf borderId="12" fillId="8" fontId="13" numFmtId="167" xfId="0" applyAlignment="1" applyBorder="1" applyFont="1" applyNumberFormat="1">
      <alignment horizontal="center"/>
    </xf>
    <xf borderId="13" fillId="8" fontId="13" numFmtId="167" xfId="0" applyAlignment="1" applyBorder="1" applyFont="1" applyNumberFormat="1">
      <alignment horizontal="center"/>
    </xf>
    <xf borderId="10" fillId="15" fontId="1" numFmtId="167" xfId="0" applyAlignment="1" applyBorder="1" applyFont="1" applyNumberFormat="1">
      <alignment horizontal="center"/>
    </xf>
    <xf borderId="4" fillId="15" fontId="1" numFmtId="167" xfId="0" applyAlignment="1" applyBorder="1" applyFont="1" applyNumberFormat="1">
      <alignment horizontal="center"/>
    </xf>
    <xf borderId="61" fillId="15" fontId="1" numFmtId="167" xfId="0" applyAlignment="1" applyBorder="1" applyFont="1" applyNumberFormat="1">
      <alignment horizontal="center"/>
    </xf>
    <xf borderId="11" fillId="29" fontId="3" numFmtId="167" xfId="0" applyAlignment="1" applyBorder="1" applyFont="1" applyNumberFormat="1">
      <alignment horizontal="center"/>
    </xf>
    <xf borderId="12" fillId="29" fontId="3" numFmtId="167" xfId="0" applyAlignment="1" applyBorder="1" applyFont="1" applyNumberFormat="1">
      <alignment horizontal="center"/>
    </xf>
    <xf borderId="13" fillId="29" fontId="3" numFmtId="167" xfId="0" applyAlignment="1" applyBorder="1" applyFont="1" applyNumberFormat="1">
      <alignment horizontal="center"/>
    </xf>
    <xf borderId="8" fillId="8" fontId="14" numFmtId="4" xfId="0" applyAlignment="1" applyBorder="1" applyFont="1" applyNumberFormat="1">
      <alignment horizontal="center"/>
    </xf>
    <xf borderId="11" fillId="6" fontId="1" numFmtId="167" xfId="0" applyAlignment="1" applyBorder="1" applyFont="1" applyNumberFormat="1">
      <alignment horizontal="center"/>
    </xf>
    <xf borderId="12" fillId="6" fontId="1" numFmtId="167" xfId="0" applyAlignment="1" applyBorder="1" applyFont="1" applyNumberFormat="1">
      <alignment horizontal="center"/>
    </xf>
    <xf borderId="4" fillId="29" fontId="3" numFmtId="167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/>
    </xf>
    <xf borderId="10" fillId="30" fontId="13" numFmtId="0" xfId="0" applyBorder="1" applyFill="1" applyFont="1"/>
    <xf borderId="4" fillId="30" fontId="13" numFmtId="171" xfId="0" applyBorder="1" applyFont="1" applyNumberFormat="1"/>
    <xf borderId="61" fillId="30" fontId="13" numFmtId="171" xfId="0" applyBorder="1" applyFont="1" applyNumberFormat="1"/>
    <xf borderId="4" fillId="30" fontId="13" numFmtId="167" xfId="0" applyBorder="1" applyFont="1" applyNumberFormat="1"/>
    <xf borderId="61" fillId="30" fontId="13" numFmtId="167" xfId="0" applyBorder="1" applyFont="1" applyNumberFormat="1"/>
    <xf borderId="4" fillId="30" fontId="13" numFmtId="1" xfId="0" applyBorder="1" applyFont="1" applyNumberFormat="1"/>
    <xf borderId="61" fillId="30" fontId="13" numFmtId="1" xfId="0" applyBorder="1" applyFont="1" applyNumberFormat="1"/>
    <xf borderId="4" fillId="30" fontId="13" numFmtId="181" xfId="0" applyBorder="1" applyFont="1" applyNumberFormat="1"/>
    <xf borderId="61" fillId="30" fontId="13" numFmtId="181" xfId="0" applyBorder="1" applyFont="1" applyNumberFormat="1"/>
    <xf borderId="4" fillId="30" fontId="13" numFmtId="10" xfId="0" applyBorder="1" applyFont="1" applyNumberFormat="1"/>
    <xf borderId="61" fillId="30" fontId="13" numFmtId="10" xfId="0" applyBorder="1" applyFont="1" applyNumberFormat="1"/>
    <xf borderId="4" fillId="30" fontId="13" numFmtId="9" xfId="0" applyBorder="1" applyFont="1" applyNumberFormat="1"/>
    <xf borderId="61" fillId="30" fontId="13" numFmtId="9" xfId="0" applyBorder="1" applyFont="1" applyNumberFormat="1"/>
    <xf borderId="10" fillId="30" fontId="14" numFmtId="0" xfId="0" applyBorder="1" applyFont="1"/>
    <xf borderId="4" fillId="30" fontId="14" numFmtId="10" xfId="0" applyBorder="1" applyFont="1" applyNumberFormat="1"/>
    <xf borderId="61" fillId="30" fontId="14" numFmtId="10" xfId="0" applyBorder="1" applyFont="1" applyNumberFormat="1"/>
    <xf borderId="4" fillId="30" fontId="13" numFmtId="2" xfId="0" applyBorder="1" applyFont="1" applyNumberFormat="1"/>
    <xf borderId="61" fillId="30" fontId="13" numFmtId="2" xfId="0" applyBorder="1" applyFont="1" applyNumberFormat="1"/>
    <xf borderId="4" fillId="30" fontId="14" numFmtId="9" xfId="0" applyBorder="1" applyFont="1" applyNumberFormat="1"/>
    <xf borderId="61" fillId="30" fontId="14" numFmtId="9" xfId="0" applyBorder="1" applyFont="1" applyNumberFormat="1"/>
    <xf borderId="55" fillId="30" fontId="14" numFmtId="0" xfId="0" applyBorder="1" applyFont="1"/>
    <xf borderId="158" fillId="0" fontId="12" numFmtId="0" xfId="0" applyBorder="1" applyFont="1"/>
    <xf borderId="159" fillId="0" fontId="12" numFmtId="0" xfId="0" applyBorder="1" applyFont="1"/>
    <xf borderId="1" fillId="14" fontId="37" numFmtId="0" xfId="0" applyAlignment="1" applyBorder="1" applyFont="1">
      <alignment horizontal="center" readingOrder="0" vertical="bottom"/>
    </xf>
    <xf borderId="0" fillId="0" fontId="61" numFmtId="0" xfId="0" applyFont="1"/>
    <xf borderId="67" fillId="6" fontId="1" numFmtId="0" xfId="0" applyAlignment="1" applyBorder="1" applyFont="1">
      <alignment horizontal="center"/>
    </xf>
    <xf borderId="68" fillId="6" fontId="1" numFmtId="0" xfId="0" applyAlignment="1" applyBorder="1" applyFont="1">
      <alignment horizontal="center"/>
    </xf>
    <xf borderId="160" fillId="6" fontId="1" numFmtId="0" xfId="0" applyAlignment="1" applyBorder="1" applyFont="1">
      <alignment horizontal="center"/>
    </xf>
    <xf borderId="51" fillId="27" fontId="72" numFmtId="0" xfId="0" applyAlignment="1" applyBorder="1" applyFont="1">
      <alignment vertical="bottom"/>
    </xf>
    <xf borderId="59" fillId="27" fontId="13" numFmtId="3" xfId="0" applyAlignment="1" applyBorder="1" applyFont="1" applyNumberFormat="1">
      <alignment horizontal="right" vertical="bottom"/>
    </xf>
    <xf borderId="81" fillId="27" fontId="13" numFmtId="1" xfId="0" applyAlignment="1" applyBorder="1" applyFont="1" applyNumberFormat="1">
      <alignment horizontal="right" vertical="bottom"/>
    </xf>
    <xf borderId="81" fillId="27" fontId="13" numFmtId="182" xfId="0" applyAlignment="1" applyBorder="1" applyFont="1" applyNumberFormat="1">
      <alignment horizontal="right" vertical="bottom"/>
    </xf>
    <xf borderId="82" fillId="27" fontId="13" numFmtId="4" xfId="0" applyAlignment="1" applyBorder="1" applyFont="1" applyNumberFormat="1">
      <alignment horizontal="right" vertical="bottom"/>
    </xf>
    <xf borderId="10" fillId="27" fontId="73" numFmtId="0" xfId="0" applyAlignment="1" applyBorder="1" applyFont="1">
      <alignment vertical="bottom"/>
    </xf>
    <xf borderId="4" fillId="27" fontId="13" numFmtId="3" xfId="0" applyAlignment="1" applyBorder="1" applyFont="1" applyNumberFormat="1">
      <alignment horizontal="right" vertical="bottom"/>
    </xf>
    <xf borderId="0" fillId="27" fontId="13" numFmtId="1" xfId="0" applyAlignment="1" applyFont="1" applyNumberFormat="1">
      <alignment horizontal="right" vertical="bottom"/>
    </xf>
    <xf borderId="0" fillId="27" fontId="13" numFmtId="182" xfId="0" applyAlignment="1" applyFont="1" applyNumberFormat="1">
      <alignment horizontal="right" vertical="bottom"/>
    </xf>
    <xf borderId="161" fillId="27" fontId="13" numFmtId="4" xfId="0" applyAlignment="1" applyBorder="1" applyFont="1" applyNumberFormat="1">
      <alignment horizontal="right" vertical="bottom"/>
    </xf>
    <xf borderId="4" fillId="27" fontId="13" numFmtId="4" xfId="0" applyAlignment="1" applyBorder="1" applyFont="1" applyNumberFormat="1">
      <alignment horizontal="right" vertical="bottom"/>
    </xf>
    <xf borderId="0" fillId="27" fontId="13" numFmtId="1" xfId="0" applyAlignment="1" applyFont="1" applyNumberFormat="1">
      <alignment horizontal="right" readingOrder="0" vertical="bottom"/>
    </xf>
    <xf borderId="55" fillId="27" fontId="74" numFmtId="0" xfId="0" applyAlignment="1" applyBorder="1" applyFont="1">
      <alignment vertical="bottom"/>
    </xf>
    <xf borderId="7" fillId="27" fontId="13" numFmtId="3" xfId="0" applyAlignment="1" applyBorder="1" applyFont="1" applyNumberFormat="1">
      <alignment horizontal="right" vertical="bottom"/>
    </xf>
    <xf borderId="158" fillId="27" fontId="13" numFmtId="1" xfId="0" applyAlignment="1" applyBorder="1" applyFont="1" applyNumberFormat="1">
      <alignment horizontal="right" vertical="bottom"/>
    </xf>
    <xf borderId="158" fillId="27" fontId="13" numFmtId="182" xfId="0" applyAlignment="1" applyBorder="1" applyFont="1" applyNumberFormat="1">
      <alignment horizontal="right" vertical="bottom"/>
    </xf>
    <xf borderId="159" fillId="27" fontId="13" numFmtId="4" xfId="0" applyAlignment="1" applyBorder="1" applyFont="1" applyNumberFormat="1">
      <alignment horizontal="right" vertical="bottom"/>
    </xf>
    <xf borderId="1" fillId="14" fontId="37" numFmtId="0" xfId="0" applyAlignment="1" applyBorder="1" applyFont="1">
      <alignment readingOrder="0" vertical="bottom"/>
    </xf>
    <xf borderId="3" fillId="14" fontId="75" numFmtId="4" xfId="0" applyAlignment="1" applyBorder="1" applyFont="1" applyNumberFormat="1">
      <alignment horizontal="right" vertical="bottom"/>
    </xf>
    <xf borderId="0" fillId="14" fontId="37" numFmtId="0" xfId="0" applyAlignment="1" applyFont="1">
      <alignment readingOrder="0" vertical="bottom"/>
    </xf>
    <xf borderId="0" fillId="14" fontId="75" numFmtId="0" xfId="0" applyAlignment="1" applyFont="1">
      <alignment horizontal="right" vertical="bottom"/>
    </xf>
    <xf borderId="0" fillId="27" fontId="10" numFmtId="0" xfId="0" applyAlignment="1" applyFont="1">
      <alignment vertical="bottom"/>
    </xf>
    <xf borderId="0" fillId="27" fontId="13" numFmtId="0" xfId="0" applyAlignment="1" applyFont="1">
      <alignment vertical="bottom"/>
    </xf>
    <xf borderId="160" fillId="6" fontId="1" numFmtId="0" xfId="0" applyAlignment="1" applyBorder="1" applyFont="1">
      <alignment horizontal="center" readingOrder="0"/>
    </xf>
    <xf borderId="1" fillId="27" fontId="13" numFmtId="1" xfId="0" applyAlignment="1" applyBorder="1" applyFont="1" applyNumberFormat="1">
      <alignment readingOrder="0" vertical="bottom"/>
    </xf>
    <xf borderId="2" fillId="0" fontId="13" numFmtId="0" xfId="0" applyAlignment="1" applyBorder="1" applyFont="1">
      <alignment readingOrder="0" vertical="bottom"/>
    </xf>
    <xf borderId="3" fillId="14" fontId="75" numFmtId="2" xfId="0" applyAlignment="1" applyBorder="1" applyFont="1" applyNumberFormat="1">
      <alignment horizontal="right" vertical="bottom"/>
    </xf>
    <xf borderId="162" fillId="27" fontId="13" numFmtId="0" xfId="0" applyAlignment="1" applyBorder="1" applyFont="1">
      <alignment readingOrder="0" vertical="bottom"/>
    </xf>
    <xf borderId="163" fillId="27" fontId="13" numFmtId="0" xfId="0" applyAlignment="1" applyBorder="1" applyFont="1">
      <alignment readingOrder="0" vertical="bottom"/>
    </xf>
    <xf borderId="0" fillId="27" fontId="13" numFmtId="0" xfId="0" applyAlignment="1" applyFont="1">
      <alignment readingOrder="0" vertical="bottom"/>
    </xf>
    <xf borderId="3" fillId="14" fontId="37" numFmtId="0" xfId="0" applyAlignment="1" applyBorder="1" applyFont="1">
      <alignment horizontal="right" vertical="bottom"/>
    </xf>
    <xf borderId="0" fillId="0" fontId="61" numFmtId="0" xfId="0" applyAlignment="1" applyFont="1">
      <alignment horizontal="center"/>
    </xf>
    <xf borderId="137" fillId="27" fontId="14" numFmtId="0" xfId="0" applyBorder="1" applyFont="1"/>
    <xf borderId="164" fillId="27" fontId="13" numFmtId="9" xfId="0" applyAlignment="1" applyBorder="1" applyFont="1" applyNumberFormat="1">
      <alignment horizontal="right"/>
    </xf>
    <xf borderId="113" fillId="27" fontId="14" numFmtId="0" xfId="0" applyBorder="1" applyFont="1"/>
    <xf borderId="115" fillId="27" fontId="13" numFmtId="9" xfId="0" applyAlignment="1" applyBorder="1" applyFont="1" applyNumberFormat="1">
      <alignment horizontal="right"/>
    </xf>
    <xf borderId="126" fillId="27" fontId="14" numFmtId="0" xfId="0" applyBorder="1" applyFont="1"/>
    <xf borderId="127" fillId="27" fontId="13" numFmtId="9" xfId="0" applyAlignment="1" applyBorder="1" applyFont="1" applyNumberFormat="1">
      <alignment horizontal="right"/>
    </xf>
    <xf borderId="0" fillId="0" fontId="10" numFmtId="3" xfId="0" applyFont="1" applyNumberFormat="1"/>
    <xf borderId="128" fillId="27" fontId="14" numFmtId="0" xfId="0" applyAlignment="1" applyBorder="1" applyFont="1">
      <alignment horizontal="center"/>
    </xf>
    <xf borderId="129" fillId="27" fontId="13" numFmtId="3" xfId="0" applyAlignment="1" applyBorder="1" applyFont="1" applyNumberFormat="1">
      <alignment horizontal="right"/>
    </xf>
    <xf borderId="129" fillId="27" fontId="13" numFmtId="4" xfId="0" applyAlignment="1" applyBorder="1" applyFont="1" applyNumberFormat="1">
      <alignment horizontal="right"/>
    </xf>
    <xf borderId="130" fillId="27" fontId="13" numFmtId="4" xfId="0" applyAlignment="1" applyBorder="1" applyFont="1" applyNumberFormat="1">
      <alignment horizontal="right"/>
    </xf>
    <xf borderId="111" fillId="27" fontId="14" numFmtId="0" xfId="0" applyAlignment="1" applyBorder="1" applyFont="1">
      <alignment horizontal="center"/>
    </xf>
    <xf borderId="121" fillId="27" fontId="13" numFmtId="3" xfId="0" applyAlignment="1" applyBorder="1" applyFont="1" applyNumberFormat="1">
      <alignment horizontal="right"/>
    </xf>
    <xf borderId="121" fillId="27" fontId="13" numFmtId="4" xfId="0" applyAlignment="1" applyBorder="1" applyFont="1" applyNumberFormat="1">
      <alignment horizontal="right"/>
    </xf>
    <xf borderId="112" fillId="27" fontId="13" numFmtId="4" xfId="0" applyAlignment="1" applyBorder="1" applyFont="1" applyNumberFormat="1">
      <alignment horizontal="right"/>
    </xf>
    <xf borderId="123" fillId="27" fontId="14" numFmtId="0" xfId="0" applyAlignment="1" applyBorder="1" applyFont="1">
      <alignment horizontal="center"/>
    </xf>
    <xf borderId="124" fillId="27" fontId="13" numFmtId="3" xfId="0" applyAlignment="1" applyBorder="1" applyFont="1" applyNumberFormat="1">
      <alignment horizontal="right"/>
    </xf>
    <xf borderId="124" fillId="27" fontId="13" numFmtId="4" xfId="0" applyAlignment="1" applyBorder="1" applyFont="1" applyNumberFormat="1">
      <alignment horizontal="right"/>
    </xf>
    <xf borderId="125" fillId="27" fontId="13" numFmtId="4" xfId="0" applyAlignment="1" applyBorder="1" applyFont="1" applyNumberFormat="1">
      <alignment horizontal="right"/>
    </xf>
    <xf borderId="106" fillId="27" fontId="14" numFmtId="0" xfId="0" applyBorder="1" applyFont="1"/>
    <xf borderId="107" fillId="27" fontId="13" numFmtId="9" xfId="0" applyAlignment="1" applyBorder="1" applyFont="1" applyNumberFormat="1">
      <alignment horizontal="right"/>
    </xf>
    <xf borderId="165" fillId="27" fontId="14" numFmtId="0" xfId="0" applyBorder="1" applyFont="1"/>
    <xf borderId="166" fillId="27" fontId="13" numFmtId="9" xfId="0" applyAlignment="1" applyBorder="1" applyFont="1" applyNumberFormat="1">
      <alignment horizontal="right"/>
    </xf>
    <xf borderId="125" fillId="27" fontId="13" numFmtId="9" xfId="0" applyAlignment="1" applyBorder="1" applyFont="1" applyNumberFormat="1">
      <alignment horizontal="right"/>
    </xf>
    <xf borderId="1" fillId="14" fontId="14" numFmtId="0" xfId="0" applyAlignment="1" applyBorder="1" applyFont="1">
      <alignment horizontal="center" readingOrder="0"/>
    </xf>
    <xf borderId="59" fillId="6" fontId="1" numFmtId="0" xfId="0" applyAlignment="1" applyBorder="1" applyFont="1">
      <alignment horizontal="center" readingOrder="0"/>
    </xf>
    <xf borderId="140" fillId="27" fontId="14" numFmtId="0" xfId="0" applyAlignment="1" applyBorder="1" applyFont="1">
      <alignment horizontal="center"/>
    </xf>
    <xf borderId="167" fillId="27" fontId="13" numFmtId="1" xfId="0" applyAlignment="1" applyBorder="1" applyFont="1" applyNumberFormat="1">
      <alignment horizontal="right"/>
    </xf>
    <xf borderId="168" fillId="27" fontId="13" numFmtId="2" xfId="0" applyAlignment="1" applyBorder="1" applyFont="1" applyNumberFormat="1">
      <alignment horizontal="right"/>
    </xf>
    <xf borderId="167" fillId="27" fontId="13" numFmtId="2" xfId="0" applyAlignment="1" applyBorder="1" applyFont="1" applyNumberFormat="1">
      <alignment horizontal="right"/>
    </xf>
    <xf borderId="107" fillId="27" fontId="13" numFmtId="2" xfId="0" applyAlignment="1" applyBorder="1" applyFont="1" applyNumberFormat="1">
      <alignment horizontal="right"/>
    </xf>
    <xf borderId="144" fillId="27" fontId="14" numFmtId="0" xfId="0" applyAlignment="1" applyBorder="1" applyFont="1">
      <alignment horizontal="center"/>
    </xf>
    <xf borderId="121" fillId="27" fontId="13" numFmtId="1" xfId="0" applyAlignment="1" applyBorder="1" applyFont="1" applyNumberFormat="1">
      <alignment horizontal="right"/>
    </xf>
    <xf borderId="169" fillId="27" fontId="13" numFmtId="2" xfId="0" applyAlignment="1" applyBorder="1" applyFont="1" applyNumberFormat="1">
      <alignment horizontal="right"/>
    </xf>
    <xf borderId="121" fillId="27" fontId="13" numFmtId="2" xfId="0" applyAlignment="1" applyBorder="1" applyFont="1" applyNumberFormat="1">
      <alignment horizontal="right"/>
    </xf>
    <xf borderId="112" fillId="27" fontId="13" numFmtId="2" xfId="0" applyAlignment="1" applyBorder="1" applyFont="1" applyNumberFormat="1">
      <alignment horizontal="right"/>
    </xf>
    <xf borderId="170" fillId="27" fontId="14" numFmtId="0" xfId="0" applyAlignment="1" applyBorder="1" applyFont="1">
      <alignment horizontal="center"/>
    </xf>
    <xf borderId="124" fillId="27" fontId="13" numFmtId="1" xfId="0" applyAlignment="1" applyBorder="1" applyFont="1" applyNumberFormat="1">
      <alignment horizontal="right"/>
    </xf>
    <xf borderId="171" fillId="27" fontId="13" numFmtId="2" xfId="0" applyAlignment="1" applyBorder="1" applyFont="1" applyNumberFormat="1">
      <alignment horizontal="right"/>
    </xf>
    <xf borderId="124" fillId="27" fontId="13" numFmtId="2" xfId="0" applyAlignment="1" applyBorder="1" applyFont="1" applyNumberFormat="1">
      <alignment horizontal="right"/>
    </xf>
    <xf borderId="125" fillId="27" fontId="13" numFmtId="2" xfId="0" applyAlignment="1" applyBorder="1" applyFont="1" applyNumberFormat="1">
      <alignment horizontal="right"/>
    </xf>
    <xf borderId="0" fillId="0" fontId="14" numFmtId="0" xfId="0" applyFont="1"/>
    <xf borderId="172" fillId="31" fontId="76" numFmtId="0" xfId="0" applyBorder="1" applyFill="1" applyFont="1"/>
    <xf borderId="173" fillId="8" fontId="14" numFmtId="0" xfId="0" applyBorder="1" applyFont="1"/>
    <xf borderId="173" fillId="8" fontId="13" numFmtId="0" xfId="0" applyAlignment="1" applyBorder="1" applyFont="1">
      <alignment horizontal="right"/>
    </xf>
    <xf borderId="173" fillId="8" fontId="13" numFmtId="166" xfId="0" applyAlignment="1" applyBorder="1" applyFont="1" applyNumberFormat="1">
      <alignment horizontal="right"/>
    </xf>
    <xf borderId="173" fillId="8" fontId="13" numFmtId="166" xfId="0" applyBorder="1" applyFont="1" applyNumberFormat="1"/>
    <xf borderId="173" fillId="8" fontId="13" numFmtId="1" xfId="0" applyAlignment="1" applyBorder="1" applyFont="1" applyNumberFormat="1">
      <alignment horizontal="right"/>
    </xf>
    <xf borderId="174" fillId="8" fontId="13" numFmtId="166" xfId="0" applyBorder="1" applyFont="1" applyNumberFormat="1"/>
    <xf borderId="63" fillId="8" fontId="14" numFmtId="3" xfId="0" applyAlignment="1" applyBorder="1" applyFont="1" applyNumberFormat="1">
      <alignment horizontal="center"/>
    </xf>
    <xf borderId="61" fillId="31" fontId="76" numFmtId="0" xfId="0" applyBorder="1" applyFont="1"/>
    <xf borderId="175" fillId="31" fontId="76" numFmtId="0" xfId="0" applyBorder="1" applyFont="1"/>
    <xf borderId="7" fillId="8" fontId="13" numFmtId="0" xfId="0" applyAlignment="1" applyBorder="1" applyFont="1">
      <alignment horizontal="right"/>
    </xf>
    <xf borderId="176" fillId="8" fontId="13" numFmtId="166" xfId="0" applyBorder="1" applyFont="1" applyNumberFormat="1"/>
    <xf borderId="64" fillId="8" fontId="14" numFmtId="3" xfId="0" applyAlignment="1" applyBorder="1" applyFont="1" applyNumberFormat="1">
      <alignment horizontal="center"/>
    </xf>
    <xf borderId="61" fillId="21" fontId="10" numFmtId="0" xfId="0" applyBorder="1" applyFont="1"/>
    <xf borderId="177" fillId="21" fontId="10" numFmtId="0" xfId="0" applyBorder="1" applyFont="1"/>
    <xf borderId="59" fillId="8" fontId="13" numFmtId="0" xfId="0" applyAlignment="1" applyBorder="1" applyFont="1">
      <alignment horizontal="right"/>
    </xf>
    <xf borderId="59" fillId="8" fontId="13" numFmtId="166" xfId="0" applyBorder="1" applyFont="1" applyNumberFormat="1"/>
    <xf borderId="59" fillId="8" fontId="13" numFmtId="1" xfId="0" applyAlignment="1" applyBorder="1" applyFont="1" applyNumberFormat="1">
      <alignment horizontal="right"/>
    </xf>
    <xf borderId="178" fillId="8" fontId="13" numFmtId="166" xfId="0" applyBorder="1" applyFont="1" applyNumberFormat="1"/>
    <xf borderId="61" fillId="4" fontId="10" numFmtId="0" xfId="0" applyBorder="1" applyFont="1"/>
    <xf borderId="179" fillId="21" fontId="10" numFmtId="0" xfId="0" applyBorder="1" applyFont="1"/>
    <xf borderId="4" fillId="8" fontId="13" numFmtId="0" xfId="0" applyAlignment="1" applyBorder="1" applyFont="1">
      <alignment horizontal="right"/>
    </xf>
    <xf borderId="180" fillId="8" fontId="13" numFmtId="166" xfId="0" applyBorder="1" applyFont="1" applyNumberFormat="1"/>
    <xf borderId="61" fillId="32" fontId="10" numFmtId="0" xfId="0" applyBorder="1" applyFill="1" applyFont="1"/>
    <xf borderId="65" fillId="8" fontId="14" numFmtId="3" xfId="0" applyAlignment="1" applyBorder="1" applyFont="1" applyNumberFormat="1">
      <alignment horizontal="center"/>
    </xf>
    <xf borderId="56" fillId="33" fontId="77" numFmtId="0" xfId="0" applyBorder="1" applyFill="1" applyFont="1"/>
    <xf borderId="175" fillId="21" fontId="10" numFmtId="0" xfId="0" applyBorder="1" applyFont="1"/>
    <xf borderId="177" fillId="4" fontId="10" numFmtId="0" xfId="0" applyBorder="1" applyFont="1"/>
    <xf borderId="179" fillId="4" fontId="10" numFmtId="0" xfId="0" applyBorder="1" applyFont="1"/>
    <xf borderId="175" fillId="4" fontId="10" numFmtId="0" xfId="0" applyBorder="1" applyFont="1"/>
    <xf borderId="181" fillId="32" fontId="10" numFmtId="0" xfId="0" applyBorder="1" applyFont="1"/>
    <xf borderId="12" fillId="8" fontId="14" numFmtId="0" xfId="0" applyBorder="1" applyFont="1"/>
    <xf borderId="12" fillId="8" fontId="13" numFmtId="0" xfId="0" applyAlignment="1" applyBorder="1" applyFont="1">
      <alignment horizontal="right"/>
    </xf>
    <xf borderId="12" fillId="8" fontId="13" numFmtId="166" xfId="0" applyAlignment="1" applyBorder="1" applyFont="1" applyNumberFormat="1">
      <alignment horizontal="right"/>
    </xf>
    <xf borderId="12" fillId="8" fontId="13" numFmtId="166" xfId="0" applyBorder="1" applyFont="1" applyNumberFormat="1"/>
    <xf borderId="12" fillId="8" fontId="13" numFmtId="1" xfId="0" applyAlignment="1" applyBorder="1" applyFont="1" applyNumberFormat="1">
      <alignment horizontal="right"/>
    </xf>
    <xf borderId="182" fillId="8" fontId="13" numFmtId="166" xfId="0" applyBorder="1" applyFont="1" applyNumberFormat="1"/>
    <xf borderId="179" fillId="33" fontId="77" numFmtId="0" xfId="0" applyBorder="1" applyFont="1"/>
    <xf borderId="183" fillId="8" fontId="13" numFmtId="0" xfId="0" applyAlignment="1" applyBorder="1" applyFont="1">
      <alignment horizontal="right"/>
    </xf>
    <xf borderId="183" fillId="8" fontId="13" numFmtId="166" xfId="0" applyAlignment="1" applyBorder="1" applyFont="1" applyNumberFormat="1">
      <alignment horizontal="right"/>
    </xf>
    <xf borderId="183" fillId="8" fontId="13" numFmtId="166" xfId="0" applyBorder="1" applyFont="1" applyNumberFormat="1"/>
    <xf borderId="183" fillId="8" fontId="13" numFmtId="1" xfId="0" applyAlignment="1" applyBorder="1" applyFont="1" applyNumberFormat="1">
      <alignment horizontal="right"/>
    </xf>
    <xf borderId="184" fillId="8" fontId="13" numFmtId="166" xfId="0" applyBorder="1" applyFont="1" applyNumberFormat="1"/>
    <xf borderId="11" fillId="2" fontId="14" numFmtId="0" xfId="0" applyBorder="1" applyFont="1"/>
    <xf borderId="185" fillId="2" fontId="14" numFmtId="0" xfId="0" applyBorder="1" applyFont="1"/>
    <xf borderId="61" fillId="2" fontId="1" numFmtId="0" xfId="0" applyAlignment="1" applyBorder="1" applyFont="1">
      <alignment horizontal="center"/>
    </xf>
    <xf borderId="64" fillId="8" fontId="14" numFmtId="166" xfId="0" applyAlignment="1" applyBorder="1" applyFont="1" applyNumberFormat="1">
      <alignment horizontal="right"/>
    </xf>
    <xf borderId="8" fillId="0" fontId="13" numFmtId="0" xfId="0" applyBorder="1" applyFont="1"/>
    <xf borderId="158" fillId="0" fontId="14" numFmtId="0" xfId="0" applyBorder="1" applyFont="1"/>
    <xf borderId="65" fillId="8" fontId="13" numFmtId="166" xfId="0" applyBorder="1" applyFont="1" applyNumberFormat="1"/>
    <xf borderId="8" fillId="2" fontId="14" numFmtId="0" xfId="0" applyBorder="1" applyFont="1"/>
    <xf borderId="15" fillId="6" fontId="1" numFmtId="0" xfId="0" applyAlignment="1" applyBorder="1" applyFont="1">
      <alignment horizontal="center"/>
    </xf>
    <xf borderId="16" fillId="6" fontId="1" numFmtId="0" xfId="0" applyAlignment="1" applyBorder="1" applyFont="1">
      <alignment horizontal="center"/>
    </xf>
    <xf borderId="17" fillId="6" fontId="1" numFmtId="0" xfId="0" applyAlignment="1" applyBorder="1" applyFont="1">
      <alignment horizontal="center"/>
    </xf>
    <xf borderId="177" fillId="31" fontId="76" numFmtId="0" xfId="0" applyBorder="1" applyFont="1"/>
    <xf borderId="175" fillId="4" fontId="78" numFmtId="0" xfId="0" applyBorder="1" applyFont="1"/>
    <xf borderId="183" fillId="8" fontId="14" numFmtId="0" xfId="0" applyBorder="1" applyFont="1"/>
    <xf borderId="10" fillId="2" fontId="14" numFmtId="0" xfId="0" applyBorder="1" applyFont="1"/>
    <xf borderId="64" fillId="2" fontId="1" numFmtId="0" xfId="0" applyAlignment="1" applyBorder="1" applyFont="1">
      <alignment horizontal="center"/>
    </xf>
    <xf borderId="135" fillId="0" fontId="13" numFmtId="0" xfId="0" applyBorder="1" applyFont="1"/>
    <xf borderId="51" fillId="31" fontId="76" numFmtId="0" xfId="0" applyBorder="1" applyFont="1"/>
    <xf borderId="60" fillId="8" fontId="13" numFmtId="166" xfId="0" applyBorder="1" applyFont="1" applyNumberFormat="1"/>
    <xf borderId="10" fillId="31" fontId="76" numFmtId="0" xfId="0" applyBorder="1" applyFont="1"/>
    <xf borderId="61" fillId="8" fontId="13" numFmtId="166" xfId="0" applyBorder="1" applyFont="1" applyNumberFormat="1"/>
    <xf borderId="55" fillId="31" fontId="76" numFmtId="0" xfId="0" applyBorder="1" applyFont="1"/>
    <xf borderId="56" fillId="8" fontId="13" numFmtId="166" xfId="0" applyBorder="1" applyFont="1" applyNumberFormat="1"/>
    <xf borderId="51" fillId="21" fontId="10" numFmtId="0" xfId="0" applyBorder="1" applyFont="1"/>
    <xf borderId="10" fillId="21" fontId="10" numFmtId="0" xfId="0" applyBorder="1" applyFont="1"/>
    <xf borderId="55" fillId="21" fontId="10" numFmtId="0" xfId="0" applyBorder="1" applyFont="1"/>
    <xf borderId="51" fillId="4" fontId="10" numFmtId="0" xfId="0" applyBorder="1" applyFont="1"/>
    <xf borderId="10" fillId="4" fontId="10" numFmtId="0" xfId="0" applyBorder="1" applyFont="1"/>
    <xf borderId="55" fillId="4" fontId="10" numFmtId="0" xfId="0" applyBorder="1" applyFont="1"/>
    <xf borderId="11" fillId="32" fontId="10" numFmtId="0" xfId="0" applyBorder="1" applyFont="1"/>
    <xf borderId="13" fillId="8" fontId="13" numFmtId="166" xfId="0" applyBorder="1" applyFont="1" applyNumberFormat="1"/>
    <xf borderId="10" fillId="33" fontId="77" numFmtId="0" xfId="0" applyBorder="1" applyFont="1"/>
    <xf borderId="55" fillId="33" fontId="77" numFmtId="0" xfId="0" applyBorder="1" applyFont="1"/>
    <xf borderId="4" fillId="8" fontId="13" numFmtId="0" xfId="0" applyBorder="1" applyFont="1"/>
    <xf borderId="7" fillId="8" fontId="13" numFmtId="1" xfId="0" applyBorder="1" applyFont="1" applyNumberFormat="1"/>
    <xf borderId="63" fillId="8" fontId="14" numFmtId="166" xfId="0" applyAlignment="1" applyBorder="1" applyFont="1" applyNumberFormat="1">
      <alignment horizontal="right"/>
    </xf>
    <xf borderId="4" fillId="8" fontId="13" numFmtId="1" xfId="0" applyBorder="1" applyFont="1" applyNumberFormat="1"/>
    <xf borderId="186" fillId="8" fontId="14" numFmtId="0" xfId="0" applyBorder="1" applyFont="1"/>
    <xf borderId="1" fillId="2" fontId="14" numFmtId="0" xfId="0" applyBorder="1" applyFont="1"/>
    <xf borderId="90" fillId="2" fontId="1" numFmtId="0" xfId="0" applyAlignment="1" applyBorder="1" applyFont="1">
      <alignment horizontal="center"/>
    </xf>
    <xf borderId="11" fillId="6" fontId="46" numFmtId="0" xfId="0" applyAlignment="1" applyBorder="1" applyFont="1">
      <alignment horizontal="center"/>
    </xf>
    <xf borderId="12" fillId="6" fontId="46" numFmtId="0" xfId="0" applyAlignment="1" applyBorder="1" applyFont="1">
      <alignment horizontal="center"/>
    </xf>
    <xf borderId="59" fillId="6" fontId="17" numFmtId="0" xfId="0" applyBorder="1" applyFont="1"/>
    <xf borderId="60" fillId="6" fontId="17" numFmtId="0" xfId="0" applyBorder="1" applyFont="1"/>
    <xf borderId="4" fillId="8" fontId="13" numFmtId="3" xfId="0" applyAlignment="1" applyBorder="1" applyFont="1" applyNumberFormat="1">
      <alignment horizontal="center"/>
    </xf>
    <xf borderId="187" fillId="34" fontId="10" numFmtId="0" xfId="0" applyBorder="1" applyFill="1" applyFont="1"/>
    <xf borderId="187" fillId="8" fontId="31" numFmtId="0" xfId="0" applyAlignment="1" applyBorder="1" applyFont="1">
      <alignment horizontal="center" vertical="center"/>
    </xf>
    <xf borderId="187" fillId="8" fontId="10" numFmtId="3" xfId="0" applyAlignment="1" applyBorder="1" applyFont="1" applyNumberFormat="1">
      <alignment horizontal="center" vertical="center"/>
    </xf>
    <xf borderId="187" fillId="8" fontId="12" numFmtId="3" xfId="0" applyAlignment="1" applyBorder="1" applyFont="1" applyNumberFormat="1">
      <alignment horizontal="center" vertical="center"/>
    </xf>
    <xf borderId="188" fillId="0" fontId="2" numFmtId="0" xfId="0" applyBorder="1" applyFont="1"/>
    <xf borderId="51" fillId="8" fontId="14" numFmtId="3" xfId="0" applyAlignment="1" applyBorder="1" applyFont="1" applyNumberFormat="1">
      <alignment horizontal="center"/>
    </xf>
    <xf borderId="60" fillId="35" fontId="13" numFmtId="3" xfId="0" applyAlignment="1" applyBorder="1" applyFill="1" applyFont="1" applyNumberFormat="1">
      <alignment horizontal="center"/>
    </xf>
    <xf borderId="187" fillId="36" fontId="10" numFmtId="0" xfId="0" applyBorder="1" applyFill="1" applyFont="1"/>
    <xf borderId="10" fillId="8" fontId="14" numFmtId="3" xfId="0" applyAlignment="1" applyBorder="1" applyFont="1" applyNumberFormat="1">
      <alignment horizontal="center"/>
    </xf>
    <xf borderId="61" fillId="28" fontId="13" numFmtId="3" xfId="0" applyAlignment="1" applyBorder="1" applyFont="1" applyNumberFormat="1">
      <alignment horizontal="center"/>
    </xf>
    <xf borderId="61" fillId="37" fontId="13" numFmtId="3" xfId="0" applyAlignment="1" applyBorder="1" applyFill="1" applyFont="1" applyNumberFormat="1">
      <alignment horizontal="center"/>
    </xf>
    <xf borderId="187" fillId="38" fontId="10" numFmtId="0" xfId="0" applyBorder="1" applyFill="1" applyFont="1"/>
    <xf borderId="61" fillId="32" fontId="13" numFmtId="3" xfId="0" applyAlignment="1" applyBorder="1" applyFont="1" applyNumberFormat="1">
      <alignment horizontal="center"/>
    </xf>
    <xf borderId="61" fillId="39" fontId="13" numFmtId="3" xfId="0" applyAlignment="1" applyBorder="1" applyFill="1" applyFont="1" applyNumberFormat="1">
      <alignment horizontal="center"/>
    </xf>
    <xf borderId="8" fillId="40" fontId="10" numFmtId="0" xfId="0" applyBorder="1" applyFill="1" applyFont="1"/>
    <xf borderId="8" fillId="8" fontId="31" numFmtId="0" xfId="0" applyAlignment="1" applyBorder="1" applyFont="1">
      <alignment horizontal="center" vertical="center"/>
    </xf>
    <xf borderId="8" fillId="8" fontId="10" numFmtId="0" xfId="0" applyAlignment="1" applyBorder="1" applyFont="1">
      <alignment horizontal="center" vertical="center"/>
    </xf>
    <xf borderId="8" fillId="8" fontId="12" numFmtId="0" xfId="0" applyAlignment="1" applyBorder="1" applyFont="1">
      <alignment horizontal="center" vertical="center"/>
    </xf>
    <xf borderId="61" fillId="5" fontId="13" numFmtId="3" xfId="0" applyAlignment="1" applyBorder="1" applyFont="1" applyNumberFormat="1">
      <alignment horizontal="center"/>
    </xf>
    <xf borderId="51" fillId="6" fontId="12" numFmtId="0" xfId="0" applyAlignment="1" applyBorder="1" applyFont="1">
      <alignment horizontal="left"/>
    </xf>
    <xf borderId="60" fillId="6" fontId="12" numFmtId="3" xfId="0" applyAlignment="1" applyBorder="1" applyFont="1" applyNumberFormat="1">
      <alignment horizontal="center"/>
    </xf>
    <xf borderId="189" fillId="14" fontId="1" numFmtId="0" xfId="0" applyAlignment="1" applyBorder="1" applyFont="1">
      <alignment horizontal="center" vertical="center"/>
    </xf>
    <xf borderId="189" fillId="41" fontId="31" numFmtId="0" xfId="0" applyAlignment="1" applyBorder="1" applyFill="1" applyFont="1">
      <alignment horizontal="center" vertical="center"/>
    </xf>
    <xf borderId="189" fillId="41" fontId="12" numFmtId="3" xfId="0" applyAlignment="1" applyBorder="1" applyFont="1" applyNumberFormat="1">
      <alignment horizontal="center" vertical="center"/>
    </xf>
    <xf borderId="55" fillId="8" fontId="14" numFmtId="3" xfId="0" applyAlignment="1" applyBorder="1" applyFont="1" applyNumberFormat="1">
      <alignment horizontal="center"/>
    </xf>
    <xf borderId="56" fillId="42" fontId="13" numFmtId="3" xfId="0" applyAlignment="1" applyBorder="1" applyFill="1" applyFont="1" applyNumberFormat="1">
      <alignment horizontal="center"/>
    </xf>
    <xf borderId="55" fillId="6" fontId="12" numFmtId="0" xfId="0" applyAlignment="1" applyBorder="1" applyFont="1">
      <alignment horizontal="left"/>
    </xf>
    <xf borderId="56" fillId="6" fontId="12" numFmtId="3" xfId="0" applyAlignment="1" applyBorder="1" applyFont="1" applyNumberFormat="1">
      <alignment horizontal="center"/>
    </xf>
    <xf borderId="8" fillId="8" fontId="14" numFmtId="10" xfId="0" applyAlignment="1" applyBorder="1" applyFont="1" applyNumberFormat="1">
      <alignment horizontal="center"/>
    </xf>
    <xf borderId="0" fillId="0" fontId="11" numFmtId="0" xfId="0" applyAlignment="1" applyFont="1">
      <alignment readingOrder="0" shrinkToFit="0" wrapText="1"/>
    </xf>
    <xf borderId="12" fillId="6" fontId="17" numFmtId="0" xfId="0" applyBorder="1" applyFont="1"/>
    <xf borderId="61" fillId="8" fontId="13" numFmtId="3" xfId="0" applyAlignment="1" applyBorder="1" applyFont="1" applyNumberFormat="1">
      <alignment horizontal="center"/>
    </xf>
    <xf borderId="8" fillId="34" fontId="10" numFmtId="0" xfId="0" applyBorder="1" applyFont="1"/>
    <xf borderId="63" fillId="36" fontId="10" numFmtId="0" xfId="0" applyBorder="1" applyFont="1"/>
    <xf borderId="63" fillId="37" fontId="10" numFmtId="0" xfId="0" applyBorder="1" applyFont="1"/>
    <xf borderId="60" fillId="8" fontId="31" numFmtId="0" xfId="0" applyAlignment="1" applyBorder="1" applyFont="1">
      <alignment horizontal="center" vertical="center"/>
    </xf>
    <xf borderId="63" fillId="8" fontId="31" numFmtId="0" xfId="0" applyAlignment="1" applyBorder="1" applyFont="1">
      <alignment horizontal="center" vertical="center"/>
    </xf>
    <xf borderId="63" fillId="43" fontId="10" numFmtId="0" xfId="0" applyBorder="1" applyFill="1" applyFont="1"/>
    <xf borderId="160" fillId="8" fontId="31" numFmtId="0" xfId="0" applyAlignment="1" applyBorder="1" applyFont="1">
      <alignment horizontal="center" vertical="center"/>
    </xf>
    <xf borderId="65" fillId="43" fontId="10" numFmtId="0" xfId="0" applyBorder="1" applyFont="1"/>
    <xf borderId="190" fillId="0" fontId="2" numFmtId="0" xfId="0" applyBorder="1" applyFont="1"/>
    <xf borderId="191" fillId="0" fontId="2" numFmtId="0" xfId="0" applyBorder="1" applyFont="1"/>
    <xf borderId="55" fillId="44" fontId="10" numFmtId="0" xfId="0" applyBorder="1" applyFill="1" applyFont="1"/>
    <xf borderId="65" fillId="5" fontId="10" numFmtId="0" xfId="0" applyBorder="1" applyFont="1"/>
    <xf borderId="187" fillId="14" fontId="1" numFmtId="0" xfId="0" applyAlignment="1" applyBorder="1" applyFont="1">
      <alignment horizontal="center" vertical="center"/>
    </xf>
    <xf borderId="187" fillId="41" fontId="31" numFmtId="0" xfId="0" applyAlignment="1" applyBorder="1" applyFont="1">
      <alignment horizontal="center" vertical="center"/>
    </xf>
    <xf borderId="13" fillId="8" fontId="31" numFmtId="0" xfId="0" applyAlignment="1" applyBorder="1" applyFont="1">
      <alignment horizontal="center" vertical="center"/>
    </xf>
    <xf borderId="8" fillId="45" fontId="10" numFmtId="0" xfId="0" applyBorder="1" applyFill="1" applyFont="1"/>
    <xf borderId="8" fillId="38" fontId="10" numFmtId="0" xfId="0" applyBorder="1" applyFont="1"/>
    <xf borderId="8" fillId="8" fontId="31" numFmtId="0" xfId="0" applyAlignment="1" applyBorder="1" applyFont="1">
      <alignment horizontal="center"/>
    </xf>
    <xf borderId="8" fillId="46" fontId="10" numFmtId="0" xfId="0" applyBorder="1" applyFill="1" applyFont="1"/>
    <xf borderId="65" fillId="8" fontId="31" numFmtId="0" xfId="0" applyAlignment="1" applyBorder="1" applyFont="1">
      <alignment horizontal="center" vertical="center"/>
    </xf>
    <xf borderId="8" fillId="5" fontId="10" numFmtId="0" xfId="0" applyBorder="1" applyFont="1"/>
    <xf borderId="65" fillId="16" fontId="10" numFmtId="0" xfId="0" applyBorder="1" applyFont="1"/>
    <xf borderId="8" fillId="36" fontId="10" numFmtId="0" xfId="0" applyBorder="1" applyFont="1"/>
    <xf borderId="8" fillId="37" fontId="10" numFmtId="0" xfId="0" applyBorder="1" applyFont="1"/>
    <xf borderId="61" fillId="27" fontId="13" numFmtId="3" xfId="0" applyAlignment="1" applyBorder="1" applyFont="1" applyNumberFormat="1">
      <alignment horizontal="center"/>
    </xf>
    <xf borderId="8" fillId="47" fontId="10" numFmtId="0" xfId="0" applyBorder="1" applyFill="1" applyFont="1"/>
    <xf borderId="8" fillId="5" fontId="13" numFmtId="3" xfId="0" applyAlignment="1" applyBorder="1" applyFont="1" applyNumberFormat="1">
      <alignment horizontal="center"/>
    </xf>
    <xf borderId="8" fillId="16" fontId="10" numFmtId="0" xfId="0" applyBorder="1" applyFont="1"/>
    <xf borderId="56" fillId="6" fontId="31" numFmtId="3" xfId="0" applyAlignment="1" applyBorder="1" applyFont="1" applyNumberFormat="1">
      <alignment horizontal="center"/>
    </xf>
    <xf borderId="13" fillId="6" fontId="46" numFmtId="0" xfId="0" applyAlignment="1" applyBorder="1" applyFont="1">
      <alignment horizontal="center"/>
    </xf>
    <xf borderId="8" fillId="8" fontId="31" numFmtId="1" xfId="0" applyAlignment="1" applyBorder="1" applyFont="1" applyNumberFormat="1">
      <alignment horizontal="center" vertical="center"/>
    </xf>
    <xf borderId="8" fillId="48" fontId="10" numFmtId="0" xfId="0" applyBorder="1" applyFill="1" applyFont="1"/>
    <xf borderId="8" fillId="8" fontId="31" numFmtId="1" xfId="0" applyAlignment="1" applyBorder="1" applyFont="1" applyNumberFormat="1">
      <alignment horizontal="center"/>
    </xf>
    <xf borderId="8" fillId="49" fontId="10" numFmtId="0" xfId="0" applyBorder="1" applyFill="1" applyFont="1"/>
    <xf borderId="187" fillId="2" fontId="1" numFmtId="0" xfId="0" applyAlignment="1" applyBorder="1" applyFont="1">
      <alignment horizontal="center" vertical="center"/>
    </xf>
    <xf borderId="189" fillId="41" fontId="31" numFmtId="1" xfId="0" applyAlignment="1" applyBorder="1" applyFont="1" applyNumberFormat="1">
      <alignment horizontal="center" vertical="center"/>
    </xf>
    <xf borderId="192" fillId="14" fontId="1" numFmtId="0" xfId="0" applyAlignment="1" applyBorder="1" applyFont="1">
      <alignment horizontal="center"/>
    </xf>
    <xf borderId="193" fillId="0" fontId="2" numFmtId="0" xfId="0" applyBorder="1" applyFont="1"/>
    <xf borderId="194" fillId="0" fontId="2" numFmtId="0" xfId="0" applyBorder="1" applyFont="1"/>
    <xf borderId="57" fillId="14" fontId="1" numFmtId="0" xfId="0" applyAlignment="1" applyBorder="1" applyFont="1">
      <alignment horizontal="center"/>
    </xf>
    <xf borderId="195" fillId="0" fontId="11" numFmtId="0" xfId="0" applyBorder="1" applyFont="1"/>
    <xf borderId="8" fillId="35" fontId="11" numFmtId="3" xfId="0" applyBorder="1" applyFont="1" applyNumberFormat="1"/>
    <xf borderId="8" fillId="28" fontId="11" numFmtId="3" xfId="0" applyBorder="1" applyFont="1" applyNumberFormat="1"/>
    <xf borderId="0" fillId="0" fontId="11" numFmtId="3" xfId="0" applyFont="1" applyNumberFormat="1"/>
    <xf borderId="8" fillId="37" fontId="11" numFmtId="3" xfId="0" applyBorder="1" applyFont="1" applyNumberFormat="1"/>
    <xf borderId="8" fillId="50" fontId="11" numFmtId="3" xfId="0" applyBorder="1" applyFill="1" applyFont="1" applyNumberFormat="1"/>
    <xf borderId="8" fillId="14" fontId="1" numFmtId="3" xfId="0" applyAlignment="1" applyBorder="1" applyFont="1" applyNumberFormat="1">
      <alignment horizontal="center"/>
    </xf>
    <xf borderId="63" fillId="6" fontId="46" numFmtId="3" xfId="0" applyAlignment="1" applyBorder="1" applyFont="1" applyNumberFormat="1">
      <alignment horizontal="center"/>
    </xf>
    <xf borderId="59" fillId="6" fontId="46" numFmtId="3" xfId="0" applyAlignment="1" applyBorder="1" applyFont="1" applyNumberFormat="1">
      <alignment horizontal="center"/>
    </xf>
    <xf borderId="60" fillId="6" fontId="17" numFmtId="3" xfId="0" applyBorder="1" applyFont="1" applyNumberFormat="1"/>
    <xf borderId="60" fillId="8" fontId="13" numFmtId="3" xfId="0" applyAlignment="1" applyBorder="1" applyFont="1" applyNumberFormat="1">
      <alignment horizontal="center"/>
    </xf>
    <xf borderId="160" fillId="34" fontId="11" numFmtId="0" xfId="0" applyBorder="1" applyFont="1"/>
    <xf borderId="187" fillId="8" fontId="31" numFmtId="0" xfId="0" applyAlignment="1" applyBorder="1" applyFont="1">
      <alignment horizontal="center"/>
    </xf>
    <xf borderId="187" fillId="8" fontId="10" numFmtId="3" xfId="0" applyAlignment="1" applyBorder="1" applyFont="1" applyNumberFormat="1">
      <alignment horizontal="center"/>
    </xf>
    <xf borderId="196" fillId="0" fontId="2" numFmtId="0" xfId="0" applyBorder="1" applyFont="1"/>
    <xf borderId="160" fillId="36" fontId="11" numFmtId="0" xfId="0" applyBorder="1" applyFont="1"/>
    <xf borderId="160" fillId="38" fontId="11" numFmtId="0" xfId="0" applyBorder="1" applyFont="1"/>
    <xf borderId="56" fillId="8" fontId="13" numFmtId="3" xfId="0" applyAlignment="1" applyBorder="1" applyFont="1" applyNumberFormat="1">
      <alignment horizontal="center"/>
    </xf>
    <xf borderId="13" fillId="50" fontId="11" numFmtId="0" xfId="0" applyBorder="1" applyFont="1"/>
    <xf borderId="8" fillId="8" fontId="10" numFmtId="0" xfId="0" applyAlignment="1" applyBorder="1" applyFont="1">
      <alignment horizontal="center"/>
    </xf>
    <xf borderId="64" fillId="6" fontId="12" numFmtId="0" xfId="0" applyBorder="1" applyFont="1"/>
    <xf borderId="61" fillId="6" fontId="12" numFmtId="3" xfId="0" applyAlignment="1" applyBorder="1" applyFont="1" applyNumberFormat="1">
      <alignment horizontal="center"/>
    </xf>
    <xf borderId="189" fillId="14" fontId="1" numFmtId="0" xfId="0" applyAlignment="1" applyBorder="1" applyFont="1">
      <alignment horizontal="center"/>
    </xf>
    <xf borderId="189" fillId="41" fontId="31" numFmtId="0" xfId="0" applyAlignment="1" applyBorder="1" applyFont="1">
      <alignment horizontal="center"/>
    </xf>
    <xf borderId="189" fillId="41" fontId="12" numFmtId="3" xfId="0" applyAlignment="1" applyBorder="1" applyFont="1" applyNumberFormat="1">
      <alignment horizontal="center"/>
    </xf>
    <xf borderId="65" fillId="6" fontId="12" numFmtId="0" xfId="0" applyBorder="1" applyFont="1"/>
    <xf borderId="8" fillId="14" fontId="1" numFmtId="0" xfId="0" applyAlignment="1" applyBorder="1" applyFont="1">
      <alignment horizontal="center"/>
    </xf>
    <xf borderId="8" fillId="39" fontId="11" numFmtId="3" xfId="0" applyBorder="1" applyFont="1" applyNumberFormat="1"/>
    <xf borderId="8" fillId="5" fontId="11" numFmtId="3" xfId="0" applyBorder="1" applyFont="1" applyNumberFormat="1"/>
    <xf borderId="8" fillId="34" fontId="11" numFmtId="0" xfId="0" applyBorder="1" applyFont="1"/>
    <xf borderId="8" fillId="8" fontId="31" numFmtId="3" xfId="0" applyAlignment="1" applyBorder="1" applyFont="1" applyNumberFormat="1">
      <alignment horizontal="center"/>
    </xf>
    <xf borderId="63" fillId="36" fontId="11" numFmtId="0" xfId="0" applyBorder="1" applyFont="1"/>
    <xf borderId="63" fillId="37" fontId="11" numFmtId="0" xfId="0" applyBorder="1" applyFont="1"/>
    <xf borderId="60" fillId="8" fontId="31" numFmtId="0" xfId="0" applyAlignment="1" applyBorder="1" applyFont="1">
      <alignment horizontal="center"/>
    </xf>
    <xf borderId="63" fillId="8" fontId="31" numFmtId="0" xfId="0" applyAlignment="1" applyBorder="1" applyFont="1">
      <alignment horizontal="center"/>
    </xf>
    <xf borderId="187" fillId="50" fontId="11" numFmtId="0" xfId="0" applyBorder="1" applyFont="1"/>
    <xf borderId="160" fillId="8" fontId="31" numFmtId="0" xfId="0" applyAlignment="1" applyBorder="1" applyFont="1">
      <alignment horizontal="center"/>
    </xf>
    <xf borderId="55" fillId="44" fontId="11" numFmtId="0" xfId="0" applyBorder="1" applyFont="1"/>
    <xf borderId="65" fillId="5" fontId="11" numFmtId="0" xfId="0" applyBorder="1" applyFont="1"/>
    <xf borderId="51" fillId="6" fontId="12" numFmtId="0" xfId="0" applyBorder="1" applyFont="1"/>
    <xf borderId="187" fillId="14" fontId="1" numFmtId="0" xfId="0" applyAlignment="1" applyBorder="1" applyFont="1">
      <alignment horizontal="center"/>
    </xf>
    <xf borderId="187" fillId="41" fontId="31" numFmtId="0" xfId="0" applyAlignment="1" applyBorder="1" applyFont="1">
      <alignment horizontal="center"/>
    </xf>
    <xf borderId="55" fillId="6" fontId="12" numFmtId="0" xfId="0" applyBorder="1" applyFont="1"/>
    <xf borderId="65" fillId="35" fontId="11" numFmtId="3" xfId="0" applyBorder="1" applyFont="1" applyNumberFormat="1"/>
    <xf borderId="8" fillId="42" fontId="11" numFmtId="3" xfId="0" applyBorder="1" applyFont="1" applyNumberFormat="1"/>
    <xf borderId="13" fillId="8" fontId="31" numFmtId="0" xfId="0" applyAlignment="1" applyBorder="1" applyFont="1">
      <alignment horizontal="center"/>
    </xf>
    <xf borderId="8" fillId="45" fontId="11" numFmtId="0" xfId="0" applyBorder="1" applyFont="1"/>
    <xf borderId="8" fillId="38" fontId="11" numFmtId="0" xfId="0" applyBorder="1" applyFont="1"/>
    <xf borderId="8" fillId="50" fontId="11" numFmtId="0" xfId="0" applyBorder="1" applyFont="1"/>
    <xf borderId="8" fillId="46" fontId="11" numFmtId="0" xfId="0" applyBorder="1" applyFont="1"/>
    <xf borderId="65" fillId="8" fontId="31" numFmtId="0" xfId="0" applyAlignment="1" applyBorder="1" applyFont="1">
      <alignment horizontal="center"/>
    </xf>
    <xf borderId="8" fillId="5" fontId="11" numFmtId="0" xfId="0" applyBorder="1" applyFont="1"/>
    <xf borderId="65" fillId="16" fontId="11" numFmtId="0" xfId="0" applyBorder="1" applyFont="1"/>
    <xf borderId="8" fillId="36" fontId="11" numFmtId="0" xfId="0" applyBorder="1" applyFont="1"/>
    <xf borderId="8" fillId="37" fontId="11" numFmtId="0" xfId="0" applyBorder="1" applyFont="1"/>
    <xf borderId="8" fillId="16" fontId="11" numFmtId="0" xfId="0" applyBorder="1" applyFont="1"/>
    <xf borderId="8" fillId="48" fontId="11" numFmtId="0" xfId="0" applyBorder="1" applyFont="1"/>
    <xf borderId="8" fillId="49" fontId="11" numFmtId="0" xfId="0" applyBorder="1" applyFont="1"/>
    <xf borderId="189" fillId="41" fontId="31" numFmtId="1" xfId="0" applyAlignment="1" applyBorder="1" applyFont="1" applyNumberFormat="1">
      <alignment horizontal="center"/>
    </xf>
    <xf borderId="51" fillId="6" fontId="46" numFmtId="0" xfId="0" applyAlignment="1" applyBorder="1" applyFont="1">
      <alignment horizontal="center"/>
    </xf>
    <xf borderId="59" fillId="6" fontId="46" numFmtId="0" xfId="0" applyAlignment="1" applyBorder="1" applyFont="1">
      <alignment horizontal="center"/>
    </xf>
    <xf borderId="60" fillId="6" fontId="46" numFmtId="0" xfId="0" applyAlignment="1" applyBorder="1" applyFont="1">
      <alignment horizontal="center"/>
    </xf>
    <xf borderId="59" fillId="8" fontId="13" numFmtId="3" xfId="0" applyAlignment="1" applyBorder="1" applyFont="1" applyNumberFormat="1">
      <alignment horizontal="center"/>
    </xf>
    <xf borderId="59" fillId="8" fontId="13" numFmtId="169" xfId="0" applyAlignment="1" applyBorder="1" applyFont="1" applyNumberFormat="1">
      <alignment horizontal="center" readingOrder="0"/>
    </xf>
    <xf borderId="60" fillId="8" fontId="13" numFmtId="9" xfId="0" applyAlignment="1" applyBorder="1" applyFont="1" applyNumberFormat="1">
      <alignment horizontal="center"/>
    </xf>
    <xf borderId="4" fillId="8" fontId="13" numFmtId="169" xfId="0" applyAlignment="1" applyBorder="1" applyFont="1" applyNumberFormat="1">
      <alignment horizontal="center"/>
    </xf>
    <xf borderId="61" fillId="8" fontId="13" numFmtId="9" xfId="0" applyAlignment="1" applyBorder="1" applyFont="1" applyNumberFormat="1">
      <alignment horizontal="center"/>
    </xf>
    <xf borderId="7" fillId="8" fontId="13" numFmtId="3" xfId="0" applyAlignment="1" applyBorder="1" applyFont="1" applyNumberFormat="1">
      <alignment horizontal="center"/>
    </xf>
    <xf borderId="7" fillId="8" fontId="13" numFmtId="169" xfId="0" applyAlignment="1" applyBorder="1" applyFont="1" applyNumberFormat="1">
      <alignment horizontal="center"/>
    </xf>
    <xf borderId="56" fillId="8" fontId="13" numFmtId="9" xfId="0" applyAlignment="1" applyBorder="1" applyFont="1" applyNumberFormat="1">
      <alignment horizontal="center"/>
    </xf>
    <xf borderId="8" fillId="8" fontId="13" numFmtId="9" xfId="0" applyAlignment="1" applyBorder="1" applyFont="1" applyNumberFormat="1">
      <alignment horizontal="center"/>
    </xf>
    <xf borderId="4" fillId="29" fontId="16" numFmtId="9" xfId="0" applyAlignment="1" applyBorder="1" applyFont="1" applyNumberFormat="1">
      <alignment horizontal="center"/>
    </xf>
    <xf borderId="197" fillId="8" fontId="13" numFmtId="3" xfId="0" applyAlignment="1" applyBorder="1" applyFont="1" applyNumberFormat="1">
      <alignment horizontal="center"/>
    </xf>
    <xf borderId="4" fillId="30" fontId="14" numFmtId="167" xfId="0" applyBorder="1" applyFont="1" applyNumberFormat="1"/>
    <xf borderId="61" fillId="30" fontId="14" numFmtId="167" xfId="0" applyBorder="1" applyFont="1" applyNumberFormat="1"/>
    <xf borderId="198" fillId="30" fontId="13" numFmtId="0" xfId="0" applyAlignment="1" applyBorder="1" applyFont="1">
      <alignment readingOrder="0"/>
    </xf>
    <xf borderId="199" fillId="30" fontId="13" numFmtId="167" xfId="0" applyAlignment="1" applyBorder="1" applyFont="1" applyNumberFormat="1">
      <alignment readingOrder="0"/>
    </xf>
    <xf borderId="200" fillId="30" fontId="13" numFmtId="167" xfId="0" applyAlignment="1" applyBorder="1" applyFont="1" applyNumberFormat="1">
      <alignment readingOrder="0"/>
    </xf>
    <xf borderId="198" fillId="30" fontId="13" numFmtId="0" xfId="0" applyBorder="1" applyFont="1"/>
    <xf borderId="199" fillId="30" fontId="13" numFmtId="167" xfId="0" applyBorder="1" applyFont="1" applyNumberFormat="1"/>
    <xf borderId="200" fillId="30" fontId="13" numFmtId="167" xfId="0" applyBorder="1" applyFont="1" applyNumberFormat="1"/>
    <xf borderId="201" fillId="30" fontId="14" numFmtId="0" xfId="0" applyBorder="1" applyFont="1"/>
    <xf borderId="202" fillId="30" fontId="14" numFmtId="167" xfId="0" applyBorder="1" applyFont="1" applyNumberFormat="1"/>
    <xf borderId="203" fillId="30" fontId="14" numFmtId="167" xfId="0" applyBorder="1" applyFont="1" applyNumberFormat="1"/>
    <xf borderId="0" fillId="0" fontId="13" numFmtId="167" xfId="0" applyAlignment="1" applyFont="1" applyNumberFormat="1">
      <alignment readingOrder="0"/>
    </xf>
    <xf borderId="4" fillId="30" fontId="13" numFmtId="0" xfId="0" applyBorder="1" applyFont="1"/>
    <xf borderId="61" fillId="30" fontId="13" numFmtId="0" xfId="0" applyBorder="1" applyFont="1"/>
    <xf borderId="55" fillId="30" fontId="13" numFmtId="0" xfId="0" applyBorder="1" applyFont="1"/>
    <xf borderId="7" fillId="30" fontId="13" numFmtId="167" xfId="0" applyBorder="1" applyFont="1" applyNumberFormat="1"/>
    <xf borderId="56" fillId="30" fontId="13" numFmtId="167" xfId="0" applyBorder="1" applyFont="1" applyNumberFormat="1"/>
    <xf borderId="172" fillId="6" fontId="1" numFmtId="0" xfId="0" applyAlignment="1" applyBorder="1" applyFont="1">
      <alignment horizontal="center"/>
    </xf>
    <xf borderId="173" fillId="6" fontId="1" numFmtId="0" xfId="0" applyAlignment="1" applyBorder="1" applyFont="1">
      <alignment horizontal="center"/>
    </xf>
    <xf borderId="174" fillId="6" fontId="1" numFmtId="0" xfId="0" applyAlignment="1" applyBorder="1" applyFont="1">
      <alignment horizontal="center"/>
    </xf>
    <xf borderId="204" fillId="7" fontId="13" numFmtId="0" xfId="0" applyBorder="1" applyFont="1"/>
    <xf borderId="205" fillId="7" fontId="13" numFmtId="177" xfId="0" applyBorder="1" applyFont="1" applyNumberFormat="1"/>
    <xf borderId="206" fillId="7" fontId="13" numFmtId="177" xfId="0" applyBorder="1" applyFont="1" applyNumberFormat="1"/>
    <xf borderId="207" fillId="7" fontId="13" numFmtId="0" xfId="0" applyBorder="1" applyFont="1"/>
    <xf borderId="208" fillId="7" fontId="13" numFmtId="0" xfId="0" applyBorder="1" applyFont="1"/>
    <xf borderId="208" fillId="7" fontId="13" numFmtId="1" xfId="0" applyBorder="1" applyFont="1" applyNumberFormat="1"/>
    <xf borderId="209" fillId="7" fontId="13" numFmtId="1" xfId="0" applyBorder="1" applyFont="1" applyNumberFormat="1"/>
    <xf borderId="0" fillId="0" fontId="79" numFmtId="0" xfId="0" applyFont="1"/>
    <xf borderId="207" fillId="7" fontId="14" numFmtId="0" xfId="0" applyBorder="1" applyFont="1"/>
    <xf borderId="208" fillId="7" fontId="14" numFmtId="167" xfId="0" applyBorder="1" applyFont="1" applyNumberFormat="1"/>
    <xf borderId="209" fillId="7" fontId="14" numFmtId="167" xfId="0" applyBorder="1" applyFont="1" applyNumberFormat="1"/>
    <xf borderId="210" fillId="7" fontId="13" numFmtId="0" xfId="0" applyBorder="1" applyFont="1"/>
    <xf borderId="211" fillId="7" fontId="13" numFmtId="167" xfId="0" applyBorder="1" applyFont="1" applyNumberFormat="1"/>
    <xf borderId="212" fillId="7" fontId="13" numFmtId="167" xfId="0" applyBorder="1" applyFont="1" applyNumberFormat="1"/>
    <xf borderId="0" fillId="0" fontId="11" numFmtId="0" xfId="0" applyAlignment="1" applyFont="1">
      <alignment readingOrder="0"/>
    </xf>
    <xf borderId="172" fillId="30" fontId="13" numFmtId="0" xfId="0" applyBorder="1" applyFont="1"/>
    <xf borderId="173" fillId="30" fontId="13" numFmtId="1" xfId="0" applyBorder="1" applyFont="1" applyNumberFormat="1"/>
    <xf borderId="174" fillId="30" fontId="13" numFmtId="1" xfId="0" applyBorder="1" applyFont="1" applyNumberFormat="1"/>
    <xf borderId="179" fillId="30" fontId="13" numFmtId="0" xfId="0" applyBorder="1" applyFont="1"/>
    <xf borderId="180" fillId="30" fontId="13" numFmtId="1" xfId="0" applyBorder="1" applyFont="1" applyNumberFormat="1"/>
    <xf borderId="213" fillId="30" fontId="13" numFmtId="0" xfId="0" applyBorder="1" applyFont="1"/>
    <xf borderId="214" fillId="30" fontId="13" numFmtId="167" xfId="0" applyBorder="1" applyFont="1" applyNumberFormat="1"/>
    <xf borderId="215" fillId="30" fontId="13" numFmtId="167" xfId="0" applyBorder="1" applyFont="1" applyNumberFormat="1"/>
    <xf borderId="213" fillId="30" fontId="14" numFmtId="0" xfId="0" applyBorder="1" applyFont="1"/>
    <xf borderId="214" fillId="30" fontId="14" numFmtId="174" xfId="0" applyBorder="1" applyFont="1" applyNumberFormat="1"/>
    <xf borderId="215" fillId="30" fontId="14" numFmtId="174" xfId="0" applyBorder="1" applyFont="1" applyNumberFormat="1"/>
    <xf borderId="216" fillId="30" fontId="14" numFmtId="0" xfId="0" applyBorder="1" applyFont="1"/>
    <xf borderId="217" fillId="30" fontId="14" numFmtId="174" xfId="0" applyBorder="1" applyFont="1" applyNumberFormat="1"/>
    <xf borderId="218" fillId="30" fontId="14" numFmtId="174" xfId="0" applyBorder="1" applyFont="1" applyNumberFormat="1"/>
    <xf borderId="219" fillId="2" fontId="1" numFmtId="0" xfId="0" applyAlignment="1" applyBorder="1" applyFont="1">
      <alignment horizontal="center"/>
    </xf>
    <xf borderId="220" fillId="0" fontId="2" numFmtId="0" xfId="0" applyBorder="1" applyFont="1"/>
    <xf borderId="221" fillId="6" fontId="80" numFmtId="0" xfId="0" applyBorder="1" applyFont="1"/>
    <xf borderId="222" fillId="6" fontId="14" numFmtId="0" xfId="0" applyBorder="1" applyFont="1"/>
    <xf borderId="223" fillId="6" fontId="14" numFmtId="0" xfId="0" applyBorder="1" applyFont="1"/>
    <xf borderId="224" fillId="6" fontId="14" numFmtId="0" xfId="0" applyBorder="1" applyFont="1"/>
    <xf borderId="225" fillId="6" fontId="14" numFmtId="0" xfId="0" applyBorder="1" applyFont="1"/>
    <xf borderId="0" fillId="0" fontId="12" numFmtId="0" xfId="0" applyFont="1"/>
    <xf borderId="226" fillId="41" fontId="14" numFmtId="0" xfId="0" applyBorder="1" applyFont="1"/>
    <xf borderId="227" fillId="30" fontId="13" numFmtId="0" xfId="0" applyBorder="1" applyFont="1"/>
    <xf borderId="228" fillId="30" fontId="13" numFmtId="0" xfId="0" applyBorder="1" applyFont="1"/>
    <xf borderId="229" fillId="30" fontId="13" numFmtId="10" xfId="0" applyBorder="1" applyFont="1" applyNumberFormat="1"/>
    <xf borderId="8" fillId="30" fontId="13" numFmtId="3" xfId="0" applyBorder="1" applyFont="1" applyNumberFormat="1"/>
    <xf borderId="230" fillId="30" fontId="13" numFmtId="0" xfId="0" applyBorder="1" applyFont="1"/>
    <xf borderId="226" fillId="30" fontId="13" numFmtId="0" xfId="0" applyBorder="1" applyFont="1"/>
    <xf borderId="214" fillId="30" fontId="13" numFmtId="0" xfId="0" applyAlignment="1" applyBorder="1" applyFont="1">
      <alignment horizontal="right"/>
    </xf>
    <xf borderId="214" fillId="30" fontId="13" numFmtId="167" xfId="0" applyAlignment="1" applyBorder="1" applyFont="1" applyNumberFormat="1">
      <alignment horizontal="right"/>
    </xf>
    <xf borderId="214" fillId="30" fontId="13" numFmtId="10" xfId="0" applyAlignment="1" applyBorder="1" applyFont="1" applyNumberFormat="1">
      <alignment horizontal="right"/>
    </xf>
    <xf borderId="231" fillId="30" fontId="13" numFmtId="1" xfId="0" applyAlignment="1" applyBorder="1" applyFont="1" applyNumberFormat="1">
      <alignment horizontal="right"/>
    </xf>
    <xf borderId="232" fillId="30" fontId="13" numFmtId="0" xfId="0" applyBorder="1" applyFont="1"/>
    <xf borderId="214" fillId="30" fontId="13" numFmtId="9" xfId="0" applyAlignment="1" applyBorder="1" applyFont="1" applyNumberFormat="1">
      <alignment horizontal="right"/>
    </xf>
    <xf borderId="214" fillId="30" fontId="13" numFmtId="0" xfId="0" applyBorder="1" applyFont="1"/>
    <xf borderId="233" fillId="30" fontId="13" numFmtId="0" xfId="0" applyBorder="1" applyFont="1"/>
    <xf borderId="234" fillId="30" fontId="13" numFmtId="0" xfId="0" applyAlignment="1" applyBorder="1" applyFont="1">
      <alignment horizontal="right"/>
    </xf>
    <xf borderId="234" fillId="30" fontId="13" numFmtId="167" xfId="0" applyAlignment="1" applyBorder="1" applyFont="1" applyNumberFormat="1">
      <alignment horizontal="right"/>
    </xf>
    <xf borderId="234" fillId="30" fontId="13" numFmtId="10" xfId="0" applyAlignment="1" applyBorder="1" applyFont="1" applyNumberFormat="1">
      <alignment horizontal="right"/>
    </xf>
    <xf borderId="234" fillId="30" fontId="13" numFmtId="0" xfId="0" applyBorder="1" applyFont="1"/>
    <xf borderId="235" fillId="30" fontId="13" numFmtId="1" xfId="0" applyAlignment="1" applyBorder="1" applyFont="1" applyNumberFormat="1">
      <alignment horizontal="right"/>
    </xf>
    <xf borderId="236" fillId="6" fontId="14" numFmtId="0" xfId="0" applyBorder="1" applyFont="1"/>
    <xf borderId="237" fillId="6" fontId="14" numFmtId="183" xfId="0" applyAlignment="1" applyBorder="1" applyFont="1" applyNumberFormat="1">
      <alignment horizontal="right"/>
    </xf>
    <xf borderId="238" fillId="6" fontId="14" numFmtId="183" xfId="0" applyAlignment="1" applyBorder="1" applyFont="1" applyNumberFormat="1">
      <alignment horizontal="right"/>
    </xf>
    <xf borderId="239" fillId="30" fontId="13" numFmtId="0" xfId="0" applyBorder="1" applyFont="1"/>
    <xf borderId="214" fillId="30" fontId="14" numFmtId="167" xfId="0" applyBorder="1" applyFont="1" applyNumberFormat="1"/>
    <xf borderId="231" fillId="30" fontId="13" numFmtId="174" xfId="0" applyAlignment="1" applyBorder="1" applyFont="1" applyNumberFormat="1">
      <alignment horizontal="right"/>
    </xf>
    <xf borderId="240" fillId="41" fontId="14" numFmtId="0" xfId="0" applyBorder="1" applyFont="1"/>
    <xf borderId="228" fillId="30" fontId="11" numFmtId="4" xfId="0" applyBorder="1" applyFont="1" applyNumberFormat="1"/>
    <xf borderId="228" fillId="30" fontId="11" numFmtId="0" xfId="0" applyBorder="1" applyFont="1"/>
    <xf borderId="214" fillId="30" fontId="11" numFmtId="167" xfId="0" applyBorder="1" applyFont="1" applyNumberFormat="1"/>
    <xf borderId="214" fillId="30" fontId="11" numFmtId="10" xfId="0" applyBorder="1" applyFont="1" applyNumberFormat="1"/>
    <xf borderId="214" fillId="30" fontId="11" numFmtId="4" xfId="0" applyAlignment="1" applyBorder="1" applyFont="1" applyNumberFormat="1">
      <alignment horizontal="right"/>
    </xf>
    <xf borderId="231" fillId="30" fontId="11" numFmtId="4" xfId="0" applyBorder="1" applyFont="1" applyNumberFormat="1"/>
    <xf borderId="232" fillId="30" fontId="14" numFmtId="0" xfId="0" applyBorder="1" applyFont="1"/>
    <xf borderId="228" fillId="30" fontId="13" numFmtId="4" xfId="0" applyBorder="1" applyFont="1" applyNumberFormat="1"/>
    <xf borderId="228" fillId="30" fontId="13" numFmtId="167" xfId="0" applyBorder="1" applyFont="1" applyNumberFormat="1"/>
    <xf borderId="228" fillId="30" fontId="13" numFmtId="10" xfId="0" applyBorder="1" applyFont="1" applyNumberFormat="1"/>
    <xf borderId="228" fillId="30" fontId="13" numFmtId="4" xfId="0" applyAlignment="1" applyBorder="1" applyFont="1" applyNumberFormat="1">
      <alignment horizontal="right"/>
    </xf>
    <xf borderId="241" fillId="30" fontId="13" numFmtId="4" xfId="0" applyBorder="1" applyFont="1" applyNumberFormat="1"/>
    <xf borderId="214" fillId="30" fontId="13" numFmtId="183" xfId="0" applyAlignment="1" applyBorder="1" applyFont="1" applyNumberFormat="1">
      <alignment horizontal="right"/>
    </xf>
    <xf borderId="231" fillId="30" fontId="13" numFmtId="3" xfId="0" applyAlignment="1" applyBorder="1" applyFont="1" applyNumberFormat="1">
      <alignment horizontal="right"/>
    </xf>
    <xf borderId="234" fillId="30" fontId="13" numFmtId="183" xfId="0" applyAlignment="1" applyBorder="1" applyFont="1" applyNumberFormat="1">
      <alignment horizontal="right"/>
    </xf>
    <xf borderId="235" fillId="30" fontId="13" numFmtId="3" xfId="0" applyAlignment="1" applyBorder="1" applyFont="1" applyNumberFormat="1">
      <alignment horizontal="right"/>
    </xf>
    <xf borderId="242" fillId="51" fontId="14" numFmtId="0" xfId="0" applyBorder="1" applyFill="1" applyFont="1"/>
    <xf borderId="243" fillId="51" fontId="14" numFmtId="183" xfId="0" applyAlignment="1" applyBorder="1" applyFont="1" applyNumberFormat="1">
      <alignment horizontal="right"/>
    </xf>
    <xf borderId="244" fillId="51" fontId="14" numFmtId="183" xfId="0" applyAlignment="1" applyBorder="1" applyFont="1" applyNumberFormat="1">
      <alignment horizontal="right"/>
    </xf>
    <xf borderId="199" fillId="30" fontId="13" numFmtId="10" xfId="0" applyBorder="1" applyFont="1" applyNumberFormat="1"/>
    <xf borderId="199" fillId="30" fontId="13" numFmtId="0" xfId="0" applyBorder="1" applyFont="1"/>
    <xf borderId="200" fillId="30" fontId="13" numFmtId="3" xfId="0" applyAlignment="1" applyBorder="1" applyFont="1" applyNumberFormat="1">
      <alignment horizontal="right"/>
    </xf>
    <xf borderId="198" fillId="30" fontId="14" numFmtId="0" xfId="0" applyBorder="1" applyFont="1"/>
    <xf borderId="199" fillId="30" fontId="13" numFmtId="4" xfId="0" applyBorder="1" applyFont="1" applyNumberFormat="1"/>
    <xf borderId="199" fillId="30" fontId="13" numFmtId="183" xfId="0" applyAlignment="1" applyBorder="1" applyFont="1" applyNumberFormat="1">
      <alignment horizontal="right"/>
    </xf>
    <xf borderId="199" fillId="30" fontId="13" numFmtId="167" xfId="0" applyAlignment="1" applyBorder="1" applyFont="1" applyNumberFormat="1">
      <alignment horizontal="right"/>
    </xf>
    <xf borderId="199" fillId="30" fontId="13" numFmtId="10" xfId="0" applyAlignment="1" applyBorder="1" applyFont="1" applyNumberFormat="1">
      <alignment horizontal="right"/>
    </xf>
    <xf borderId="199" fillId="30" fontId="13" numFmtId="9" xfId="0" applyAlignment="1" applyBorder="1" applyFont="1" applyNumberFormat="1">
      <alignment horizontal="right"/>
    </xf>
    <xf borderId="245" fillId="51" fontId="14" numFmtId="0" xfId="0" applyBorder="1" applyFont="1"/>
    <xf borderId="246" fillId="51" fontId="14" numFmtId="183" xfId="0" applyAlignment="1" applyBorder="1" applyFont="1" applyNumberFormat="1">
      <alignment horizontal="right"/>
    </xf>
    <xf borderId="247" fillId="51" fontId="14" numFmtId="183" xfId="0" applyAlignment="1" applyBorder="1" applyFont="1" applyNumberFormat="1">
      <alignment horizontal="right"/>
    </xf>
    <xf borderId="228" fillId="30" fontId="13" numFmtId="183" xfId="0" applyAlignment="1" applyBorder="1" applyFont="1" applyNumberFormat="1">
      <alignment horizontal="right"/>
    </xf>
    <xf borderId="228" fillId="30" fontId="13" numFmtId="167" xfId="0" applyAlignment="1" applyBorder="1" applyFont="1" applyNumberFormat="1">
      <alignment horizontal="right"/>
    </xf>
    <xf borderId="228" fillId="30" fontId="13" numFmtId="10" xfId="0" applyAlignment="1" applyBorder="1" applyFont="1" applyNumberFormat="1">
      <alignment horizontal="right"/>
    </xf>
    <xf borderId="241" fillId="30" fontId="13" numFmtId="3" xfId="0" applyAlignment="1" applyBorder="1" applyFont="1" applyNumberFormat="1">
      <alignment horizontal="right"/>
    </xf>
    <xf borderId="248" fillId="51" fontId="14" numFmtId="183" xfId="0" applyAlignment="1" applyBorder="1" applyFont="1" applyNumberFormat="1">
      <alignment horizontal="right"/>
    </xf>
    <xf borderId="249" fillId="51" fontId="14" numFmtId="183" xfId="0" applyAlignment="1" applyBorder="1" applyFont="1" applyNumberFormat="1">
      <alignment horizontal="right"/>
    </xf>
    <xf borderId="250" fillId="30" fontId="13" numFmtId="0" xfId="0" applyBorder="1" applyFont="1"/>
    <xf borderId="251" fillId="30" fontId="13" numFmtId="183" xfId="0" applyAlignment="1" applyBorder="1" applyFont="1" applyNumberFormat="1">
      <alignment horizontal="right"/>
    </xf>
    <xf borderId="251" fillId="30" fontId="13" numFmtId="167" xfId="0" applyAlignment="1" applyBorder="1" applyFont="1" applyNumberFormat="1">
      <alignment horizontal="right"/>
    </xf>
    <xf borderId="251" fillId="30" fontId="13" numFmtId="10" xfId="0" applyAlignment="1" applyBorder="1" applyFont="1" applyNumberFormat="1">
      <alignment horizontal="right"/>
    </xf>
    <xf borderId="251" fillId="30" fontId="13" numFmtId="0" xfId="0" applyBorder="1" applyFont="1"/>
    <xf borderId="252" fillId="30" fontId="13" numFmtId="3" xfId="0" applyAlignment="1" applyBorder="1" applyFont="1" applyNumberFormat="1">
      <alignment horizontal="right"/>
    </xf>
    <xf borderId="200" fillId="30" fontId="13" numFmtId="3" xfId="0" applyBorder="1" applyFont="1" applyNumberFormat="1"/>
    <xf borderId="237" fillId="6" fontId="14" numFmtId="183" xfId="0" applyBorder="1" applyFont="1" applyNumberFormat="1"/>
    <xf borderId="238" fillId="6" fontId="14" numFmtId="183" xfId="0" applyBorder="1" applyFont="1" applyNumberFormat="1"/>
    <xf borderId="253" fillId="30" fontId="13" numFmtId="0" xfId="0" applyBorder="1" applyFont="1"/>
    <xf borderId="200" fillId="30" fontId="10" numFmtId="0" xfId="0" applyBorder="1" applyFont="1"/>
    <xf borderId="254" fillId="41" fontId="14" numFmtId="0" xfId="0" applyBorder="1" applyFont="1"/>
    <xf borderId="255" fillId="30" fontId="13" numFmtId="0" xfId="0" applyBorder="1" applyFont="1"/>
    <xf borderId="200" fillId="30" fontId="13" numFmtId="0" xfId="0" applyBorder="1" applyFont="1"/>
    <xf borderId="199" fillId="30" fontId="13" numFmtId="0" xfId="0" applyAlignment="1" applyBorder="1" applyFont="1">
      <alignment horizontal="right"/>
    </xf>
    <xf borderId="199" fillId="30" fontId="13" numFmtId="4" xfId="0" applyAlignment="1" applyBorder="1" applyFont="1" applyNumberFormat="1">
      <alignment horizontal="right"/>
    </xf>
    <xf borderId="199" fillId="30" fontId="13" numFmtId="184" xfId="0" applyAlignment="1" applyBorder="1" applyFont="1" applyNumberFormat="1">
      <alignment horizontal="right"/>
    </xf>
    <xf borderId="251" fillId="30" fontId="13" numFmtId="0" xfId="0" applyAlignment="1" applyBorder="1" applyFont="1">
      <alignment horizontal="right"/>
    </xf>
    <xf borderId="256" fillId="30" fontId="13" numFmtId="0" xfId="0" applyBorder="1" applyFont="1"/>
    <xf borderId="202" fillId="30" fontId="13" numFmtId="0" xfId="0" applyBorder="1" applyFont="1"/>
    <xf borderId="203" fillId="30" fontId="13" numFmtId="0" xfId="0" applyBorder="1" applyFont="1"/>
    <xf borderId="51" fillId="6" fontId="14" numFmtId="0" xfId="0" applyBorder="1" applyFont="1"/>
    <xf borderId="60" fillId="6" fontId="14" numFmtId="0" xfId="0" applyBorder="1" applyFont="1"/>
    <xf borderId="11" fillId="52" fontId="14" numFmtId="0" xfId="0" applyBorder="1" applyFill="1" applyFont="1"/>
    <xf borderId="12" fillId="52" fontId="14" numFmtId="183" xfId="0" applyBorder="1" applyFont="1" applyNumberFormat="1"/>
    <xf borderId="7" fillId="4" fontId="13" numFmtId="0" xfId="0" applyBorder="1" applyFont="1"/>
    <xf borderId="56" fillId="47" fontId="14" numFmtId="0" xfId="0" applyBorder="1" applyFont="1"/>
    <xf borderId="257" fillId="30" fontId="14" numFmtId="0" xfId="0" applyBorder="1" applyFont="1"/>
    <xf borderId="258" fillId="30" fontId="12" numFmtId="167" xfId="0" applyBorder="1" applyFont="1" applyNumberFormat="1"/>
    <xf borderId="259" fillId="30" fontId="12" numFmtId="167" xfId="0" applyBorder="1" applyFont="1" applyNumberFormat="1"/>
    <xf borderId="260" fillId="30" fontId="13" numFmtId="0" xfId="0" applyBorder="1" applyFont="1"/>
    <xf borderId="261" fillId="30" fontId="10" numFmtId="167" xfId="0" applyAlignment="1" applyBorder="1" applyFont="1" applyNumberFormat="1">
      <alignment horizontal="right"/>
    </xf>
    <xf borderId="262" fillId="30" fontId="10" numFmtId="167" xfId="0" applyAlignment="1" applyBorder="1" applyFont="1" applyNumberFormat="1">
      <alignment horizontal="right"/>
    </xf>
    <xf borderId="260" fillId="30" fontId="14" numFmtId="0" xfId="0" applyBorder="1" applyFont="1"/>
    <xf borderId="261" fillId="30" fontId="12" numFmtId="167" xfId="0" applyBorder="1" applyFont="1" applyNumberFormat="1"/>
    <xf borderId="262" fillId="30" fontId="12" numFmtId="167" xfId="0" applyBorder="1" applyFont="1" applyNumberFormat="1"/>
    <xf borderId="261" fillId="30" fontId="10" numFmtId="167" xfId="0" applyBorder="1" applyFont="1" applyNumberFormat="1"/>
    <xf borderId="262" fillId="30" fontId="10" numFmtId="167" xfId="0" applyBorder="1" applyFont="1" applyNumberFormat="1"/>
    <xf borderId="263" fillId="30" fontId="13" numFmtId="0" xfId="0" applyBorder="1" applyFont="1"/>
    <xf borderId="264" fillId="30" fontId="10" numFmtId="167" xfId="0" applyBorder="1" applyFont="1" applyNumberFormat="1"/>
    <xf borderId="265" fillId="30" fontId="10" numFmtId="167" xfId="0" applyBorder="1" applyFont="1" applyNumberFormat="1"/>
    <xf borderId="80" fillId="14" fontId="1" numFmtId="0" xfId="0" applyAlignment="1" applyBorder="1" applyFont="1">
      <alignment horizontal="center"/>
    </xf>
    <xf borderId="266" fillId="0" fontId="10" numFmtId="0" xfId="0" applyBorder="1" applyFont="1"/>
    <xf borderId="237" fillId="6" fontId="14" numFmtId="1" xfId="0" applyBorder="1" applyFont="1" applyNumberFormat="1"/>
    <xf borderId="238" fillId="6" fontId="14" numFmtId="1" xfId="0" applyBorder="1" applyFont="1" applyNumberFormat="1"/>
    <xf borderId="267" fillId="7" fontId="14" numFmtId="0" xfId="0" applyBorder="1" applyFont="1"/>
    <xf borderId="268" fillId="7" fontId="13" numFmtId="10" xfId="0" applyAlignment="1" applyBorder="1" applyFont="1" applyNumberFormat="1">
      <alignment horizontal="right"/>
    </xf>
    <xf borderId="268" fillId="7" fontId="13" numFmtId="1" xfId="0" applyAlignment="1" applyBorder="1" applyFont="1" applyNumberFormat="1">
      <alignment horizontal="right"/>
    </xf>
    <xf borderId="268" fillId="7" fontId="13" numFmtId="167" xfId="0" applyAlignment="1" applyBorder="1" applyFont="1" applyNumberFormat="1">
      <alignment horizontal="right"/>
    </xf>
    <xf borderId="269" fillId="7" fontId="13" numFmtId="167" xfId="0" applyAlignment="1" applyBorder="1" applyFont="1" applyNumberFormat="1">
      <alignment horizontal="right"/>
    </xf>
    <xf borderId="198" fillId="7" fontId="14" numFmtId="0" xfId="0" applyBorder="1" applyFont="1"/>
    <xf borderId="199" fillId="7" fontId="13" numFmtId="10" xfId="0" applyAlignment="1" applyBorder="1" applyFont="1" applyNumberFormat="1">
      <alignment horizontal="right"/>
    </xf>
    <xf borderId="199" fillId="7" fontId="13" numFmtId="1" xfId="0" applyAlignment="1" applyBorder="1" applyFont="1" applyNumberFormat="1">
      <alignment horizontal="right"/>
    </xf>
    <xf borderId="199" fillId="7" fontId="13" numFmtId="167" xfId="0" applyAlignment="1" applyBorder="1" applyFont="1" applyNumberFormat="1">
      <alignment horizontal="right"/>
    </xf>
    <xf borderId="255" fillId="7" fontId="13" numFmtId="1" xfId="0" applyAlignment="1" applyBorder="1" applyFont="1" applyNumberFormat="1">
      <alignment horizontal="right"/>
    </xf>
    <xf borderId="199" fillId="7" fontId="14" numFmtId="167" xfId="0" applyAlignment="1" applyBorder="1" applyFont="1" applyNumberFormat="1">
      <alignment horizontal="right"/>
    </xf>
    <xf borderId="270" fillId="7" fontId="13" numFmtId="167" xfId="0" applyAlignment="1" applyBorder="1" applyFont="1" applyNumberFormat="1">
      <alignment horizontal="right"/>
    </xf>
    <xf borderId="251" fillId="7" fontId="13" numFmtId="167" xfId="0" applyAlignment="1" applyBorder="1" applyFont="1" applyNumberFormat="1">
      <alignment horizontal="right"/>
    </xf>
    <xf borderId="251" fillId="7" fontId="14" numFmtId="167" xfId="0" applyAlignment="1" applyBorder="1" applyFont="1" applyNumberFormat="1">
      <alignment horizontal="right"/>
    </xf>
    <xf borderId="55" fillId="7" fontId="10" numFmtId="0" xfId="0" applyBorder="1" applyFont="1"/>
    <xf borderId="264" fillId="7" fontId="10" numFmtId="167" xfId="0" applyBorder="1" applyFont="1" applyNumberFormat="1"/>
    <xf borderId="271" fillId="7" fontId="10" numFmtId="167" xfId="0" applyBorder="1" applyFont="1" applyNumberFormat="1"/>
    <xf borderId="11" fillId="14" fontId="14" numFmtId="167" xfId="0" applyBorder="1" applyFont="1" applyNumberFormat="1"/>
    <xf borderId="13" fillId="14" fontId="14" numFmtId="167" xfId="0" applyAlignment="1" applyBorder="1" applyFont="1" applyNumberFormat="1">
      <alignment horizontal="right"/>
    </xf>
    <xf borderId="254" fillId="7" fontId="14" numFmtId="0" xfId="0" applyBorder="1" applyFont="1"/>
    <xf borderId="255" fillId="7" fontId="13" numFmtId="10" xfId="0" applyAlignment="1" applyBorder="1" applyFont="1" applyNumberFormat="1">
      <alignment horizontal="right"/>
    </xf>
    <xf borderId="255" fillId="7" fontId="13" numFmtId="167" xfId="0" applyAlignment="1" applyBorder="1" applyFont="1" applyNumberFormat="1">
      <alignment horizontal="right"/>
    </xf>
    <xf borderId="199" fillId="7" fontId="13" numFmtId="3" xfId="0" applyAlignment="1" applyBorder="1" applyFont="1" applyNumberFormat="1">
      <alignment horizontal="right"/>
    </xf>
    <xf borderId="251" fillId="7" fontId="13" numFmtId="10" xfId="0" applyAlignment="1" applyBorder="1" applyFont="1" applyNumberFormat="1">
      <alignment horizontal="right"/>
    </xf>
    <xf borderId="251" fillId="7" fontId="13" numFmtId="3" xfId="0" applyAlignment="1" applyBorder="1" applyFont="1" applyNumberFormat="1">
      <alignment horizontal="right"/>
    </xf>
    <xf borderId="251" fillId="7" fontId="10" numFmtId="10" xfId="0" applyBorder="1" applyFont="1" applyNumberFormat="1"/>
    <xf borderId="251" fillId="7" fontId="10" numFmtId="3" xfId="0" applyBorder="1" applyFont="1" applyNumberFormat="1"/>
    <xf borderId="272" fillId="2" fontId="1" numFmtId="0" xfId="0" applyAlignment="1" applyBorder="1" applyFont="1">
      <alignment horizontal="center"/>
    </xf>
    <xf borderId="273" fillId="0" fontId="2" numFmtId="0" xfId="0" applyBorder="1" applyFont="1"/>
    <xf borderId="177" fillId="6" fontId="1" numFmtId="0" xfId="0" applyAlignment="1" applyBorder="1" applyFont="1">
      <alignment horizontal="center"/>
    </xf>
    <xf borderId="178" fillId="6" fontId="1" numFmtId="0" xfId="0" applyAlignment="1" applyBorder="1" applyFont="1">
      <alignment horizontal="center"/>
    </xf>
    <xf borderId="274" fillId="12" fontId="14" numFmtId="0" xfId="0" applyBorder="1" applyFont="1"/>
    <xf borderId="275" fillId="12" fontId="14" numFmtId="174" xfId="0" applyBorder="1" applyFont="1" applyNumberFormat="1"/>
    <xf borderId="276" fillId="12" fontId="14" numFmtId="0" xfId="0" applyBorder="1" applyFont="1"/>
    <xf borderId="277" fillId="12" fontId="14" numFmtId="174" xfId="0" applyBorder="1" applyFont="1" applyNumberFormat="1"/>
    <xf borderId="278" fillId="12" fontId="14" numFmtId="0" xfId="0" applyBorder="1" applyFont="1"/>
    <xf borderId="279" fillId="12" fontId="14" numFmtId="174" xfId="0" applyBorder="1" applyFont="1" applyNumberFormat="1"/>
    <xf borderId="280" fillId="2" fontId="1" numFmtId="0" xfId="0" applyAlignment="1" applyBorder="1" applyFont="1">
      <alignment horizontal="center"/>
    </xf>
    <xf borderId="280" fillId="29" fontId="3" numFmtId="174" xfId="0" applyAlignment="1" applyBorder="1" applyFont="1" applyNumberFormat="1">
      <alignment horizontal="center"/>
    </xf>
    <xf borderId="275" fillId="12" fontId="14" numFmtId="49" xfId="0" applyAlignment="1" applyBorder="1" applyFont="1" applyNumberFormat="1">
      <alignment horizontal="right"/>
    </xf>
    <xf borderId="281" fillId="12" fontId="14" numFmtId="0" xfId="0" applyBorder="1" applyFont="1"/>
    <xf borderId="282" fillId="12" fontId="14" numFmtId="174" xfId="0" applyBorder="1" applyFont="1" applyNumberFormat="1"/>
    <xf borderId="91" fillId="2" fontId="1" numFmtId="0" xfId="0" applyAlignment="1" applyBorder="1" applyFont="1">
      <alignment horizontal="center"/>
    </xf>
    <xf borderId="91" fillId="29" fontId="3" numFmtId="174" xfId="0" applyAlignment="1" applyBorder="1" applyFont="1" applyNumberFormat="1">
      <alignment horizontal="center"/>
    </xf>
    <xf borderId="283" fillId="12" fontId="14" numFmtId="0" xfId="0" applyBorder="1" applyFont="1"/>
    <xf borderId="284" fillId="12" fontId="14" numFmtId="174" xfId="0" applyBorder="1" applyFont="1" applyNumberFormat="1"/>
  </cellXfs>
  <cellStyles count="1">
    <cellStyle xfId="0" name="Normal" builtinId="0"/>
  </cellStyles>
  <dxfs count="13"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>
        <b/>
      </font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B050"/>
          <bgColor rgb="FF00B050"/>
        </patternFill>
      </fill>
      <border/>
    </dxf>
  </dxfs>
  <tableStyles count="23">
    <tableStyle count="3" pivot="0" name="OM Raw Material Data-style">
      <tableStyleElement dxfId="4" type="headerRow"/>
      <tableStyleElement dxfId="5" type="firstRowStripe"/>
      <tableStyleElement dxfId="5" type="secondRowStripe"/>
    </tableStyle>
    <tableStyle count="3" pivot="0" name="OM Raw Material Data-style 2">
      <tableStyleElement dxfId="4" type="headerRow"/>
      <tableStyleElement dxfId="5" type="firstRowStripe"/>
      <tableStyleElement dxfId="5" type="secondRowStripe"/>
    </tableStyle>
    <tableStyle count="3" pivot="0" name="OM Raw Material Data-style 3">
      <tableStyleElement dxfId="4" type="headerRow"/>
      <tableStyleElement dxfId="5" type="firstRowStripe"/>
      <tableStyleElement dxfId="5" type="secondRowStripe"/>
    </tableStyle>
    <tableStyle count="3" pivot="0" name="OM Raw Material Data-style 4">
      <tableStyleElement dxfId="4" type="headerRow"/>
      <tableStyleElement dxfId="5" type="firstRowStripe"/>
      <tableStyleElement dxfId="5" type="secondRowStripe"/>
    </tableStyle>
    <tableStyle count="3" pivot="0" name="OM Raw Material Data-style 5">
      <tableStyleElement dxfId="4" type="headerRow"/>
      <tableStyleElement dxfId="5" type="firstRowStripe"/>
      <tableStyleElement dxfId="5" type="secondRowStripe"/>
    </tableStyle>
    <tableStyle count="3" pivot="0" name="OM Raw Material Data-style 6">
      <tableStyleElement dxfId="4" type="headerRow"/>
      <tableStyleElement dxfId="5" type="firstRowStripe"/>
      <tableStyleElement dxfId="5" type="secondRowStripe"/>
    </tableStyle>
    <tableStyle count="3" pivot="0" name="OM Raw Material Data-style 7">
      <tableStyleElement dxfId="4" type="headerRow"/>
      <tableStyleElement dxfId="5" type="firstRowStripe"/>
      <tableStyleElement dxfId="5" type="secondRowStripe"/>
    </tableStyle>
    <tableStyle count="2" pivot="0" name="OM Direct Materials &amp; Direct La-style">
      <tableStyleElement dxfId="6" type="firstRowStripe"/>
      <tableStyleElement dxfId="6" type="secondRowStripe"/>
    </tableStyle>
    <tableStyle count="2" pivot="0" name="OM Direct Materials &amp; Direct La-style 2">
      <tableStyleElement dxfId="6" type="firstRowStripe"/>
      <tableStyleElement dxfId="6" type="secondRowStripe"/>
    </tableStyle>
    <tableStyle count="2" pivot="0" name="OM Direct Materials &amp; Direct La-style 3">
      <tableStyleElement dxfId="6" type="firstRowStripe"/>
      <tableStyleElement dxfId="6" type="secondRowStripe"/>
    </tableStyle>
    <tableStyle count="2" pivot="0" name="OM Direct Materials &amp; Direct La-style 4">
      <tableStyleElement dxfId="6" type="firstRowStripe"/>
      <tableStyleElement dxfId="6" type="secondRowStripe"/>
    </tableStyle>
    <tableStyle count="2" pivot="0" name="OM Direct Materials &amp; Direct La-style 5">
      <tableStyleElement dxfId="6" type="firstRowStripe"/>
      <tableStyleElement dxfId="6" type="secondRowStripe"/>
    </tableStyle>
    <tableStyle count="2" pivot="0" name="OM Direct Materials &amp; Direct La-style 6">
      <tableStyleElement dxfId="6" type="firstRowStripe"/>
      <tableStyleElement dxfId="6" type="secondRowStripe"/>
    </tableStyle>
    <tableStyle count="2" pivot="0" name="OM Direct Materials &amp; Direct La-style 7">
      <tableStyleElement dxfId="6" type="firstRowStripe"/>
      <tableStyleElement dxfId="6" type="secondRowStripe"/>
    </tableStyle>
    <tableStyle count="2" pivot="0" name="OM Direct Materials &amp; Direct La-style 8">
      <tableStyleElement dxfId="6" type="firstRowStripe"/>
      <tableStyleElement dxfId="6" type="secondRowStripe"/>
    </tableStyle>
    <tableStyle count="2" pivot="0" name="OM Direct Materials &amp; Direct La-style 9">
      <tableStyleElement dxfId="6" type="firstRowStripe"/>
      <tableStyleElement dxfId="6" type="secondRowStripe"/>
    </tableStyle>
    <tableStyle count="2" pivot="0" name="OM Direct Materials &amp; Direct La-style 10">
      <tableStyleElement dxfId="6" type="firstRowStripe"/>
      <tableStyleElement dxfId="6" type="secondRowStripe"/>
    </tableStyle>
    <tableStyle count="2" pivot="0" name="OM Direct Materials &amp; Direct La-style 11">
      <tableStyleElement dxfId="6" type="firstRowStripe"/>
      <tableStyleElement dxfId="6" type="secondRowStripe"/>
    </tableStyle>
    <tableStyle count="2" pivot="0" name="OM Direct Materials &amp; Direct La-style 12">
      <tableStyleElement dxfId="6" type="firstRowStripe"/>
      <tableStyleElement dxfId="6" type="secondRowStripe"/>
    </tableStyle>
    <tableStyle count="2" pivot="0" name="OM Direct Materials &amp; Direct La-style 13">
      <tableStyleElement dxfId="6" type="firstRowStripe"/>
      <tableStyleElement dxfId="6" type="secondRowStripe"/>
    </tableStyle>
    <tableStyle count="2" pivot="0" name="OM Direct Materials &amp; Direct La-style 14">
      <tableStyleElement dxfId="6" type="firstRowStripe"/>
      <tableStyleElement dxfId="6" type="secondRowStripe"/>
    </tableStyle>
    <tableStyle count="2" pivot="0" name="OM Direct Materials &amp; Direct La-style 15">
      <tableStyleElement dxfId="6" type="firstRowStripe"/>
      <tableStyleElement dxfId="6" type="secondRowStripe"/>
    </tableStyle>
    <tableStyle count="2" pivot="0" name="OM Inventory-style">
      <tableStyleElement dxfId="5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2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2, 3, 4 and 5</a:t>
            </a:r>
          </a:p>
        </c:rich>
      </c:tx>
      <c:overlay val="0"/>
    </c:title>
    <c:plotArea>
      <c:layout/>
      <c:barChart>
        <c:barDir val="col"/>
        <c:axId val="1355829765"/>
        <c:axId val="485399082"/>
      </c:barChart>
      <c:catAx>
        <c:axId val="1355829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399082"/>
      </c:catAx>
      <c:valAx>
        <c:axId val="48539908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55829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133350</xdr:rowOff>
    </xdr:from>
    <xdr:ext cx="4876800" cy="2466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0</xdr:row>
      <xdr:rowOff>180975</xdr:rowOff>
    </xdr:from>
    <xdr:ext cx="1419225" cy="8382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314325</xdr:colOff>
      <xdr:row>3</xdr:row>
      <xdr:rowOff>19050</xdr:rowOff>
    </xdr:from>
    <xdr:ext cx="64484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1209675</xdr:colOff>
      <xdr:row>38</xdr:row>
      <xdr:rowOff>190500</xdr:rowOff>
    </xdr:from>
    <xdr:ext cx="5715000" cy="3533775"/>
    <xdr:graphicFrame>
      <xdr:nvGraphicFramePr>
        <xdr:cNvPr id="177106752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2</xdr:row>
      <xdr:rowOff>28575</xdr:rowOff>
    </xdr:from>
    <xdr:ext cx="7715250" cy="5676900"/>
    <xdr:grpSp>
      <xdr:nvGrpSpPr>
        <xdr:cNvPr id="2" name="Shape 2"/>
        <xdr:cNvGrpSpPr/>
      </xdr:nvGrpSpPr>
      <xdr:grpSpPr>
        <a:xfrm>
          <a:off x="1488375" y="941550"/>
          <a:ext cx="7715250" cy="5676900"/>
          <a:chOff x="1488375" y="941550"/>
          <a:chExt cx="7715250" cy="5676900"/>
        </a:xfrm>
      </xdr:grpSpPr>
      <xdr:grpSp>
        <xdr:nvGrpSpPr>
          <xdr:cNvPr id="3" name="Shape 3"/>
          <xdr:cNvGrpSpPr/>
        </xdr:nvGrpSpPr>
        <xdr:grpSpPr>
          <a:xfrm>
            <a:off x="1488375" y="941550"/>
            <a:ext cx="7715250" cy="5676900"/>
            <a:chOff x="1488375" y="941550"/>
            <a:chExt cx="7715250" cy="5676900"/>
          </a:xfrm>
        </xdr:grpSpPr>
        <xdr:sp>
          <xdr:nvSpPr>
            <xdr:cNvPr id="4" name="Shape 4"/>
            <xdr:cNvSpPr/>
          </xdr:nvSpPr>
          <xdr:spPr>
            <a:xfrm>
              <a:off x="1488375" y="941550"/>
              <a:ext cx="7715250" cy="5676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1488375" y="941550"/>
              <a:ext cx="7715250" cy="5676900"/>
              <a:chOff x="-192725" y="-60775"/>
              <a:chExt cx="7812726" cy="5657371"/>
            </a:xfrm>
          </xdr:grpSpPr>
          <xdr:sp>
            <xdr:nvSpPr>
              <xdr:cNvPr id="6" name="Shape 6"/>
              <xdr:cNvSpPr/>
            </xdr:nvSpPr>
            <xdr:spPr>
              <a:xfrm>
                <a:off x="-192725" y="-60775"/>
                <a:ext cx="7812725" cy="5657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7" name="Shape 7" title="8800-South-Fwy-Fort-Worth-TX-Building-Photo-10-LargeHighDefinition.jpg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-192725" y="-60775"/>
                <a:ext cx="7812726" cy="565737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8" name="Shape 8"/>
              <xdr:cNvSpPr/>
            </xdr:nvSpPr>
            <xdr:spPr>
              <a:xfrm>
                <a:off x="1410975" y="3735550"/>
                <a:ext cx="1177500" cy="984600"/>
              </a:xfrm>
              <a:prstGeom prst="rect">
                <a:avLst/>
              </a:prstGeom>
              <a:solidFill>
                <a:srgbClr val="FF00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INJECTION MOLDING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2466825" y="2923475"/>
                <a:ext cx="774600" cy="528000"/>
              </a:xfrm>
              <a:prstGeom prst="rect">
                <a:avLst/>
              </a:prstGeom>
              <a:solidFill>
                <a:srgbClr val="FF00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800"/>
                  <a:buFont typeface="Consolas"/>
                  <a:buNone/>
                </a:pPr>
                <a:r>
                  <a:rPr lang="en-US" sz="8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ELECTRONIC ASSEMBLY</a:t>
                </a:r>
                <a:endParaRPr sz="8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3241475" y="2923475"/>
                <a:ext cx="941100" cy="528000"/>
              </a:xfrm>
              <a:prstGeom prst="rect">
                <a:avLst/>
              </a:prstGeom>
              <a:solidFill>
                <a:srgbClr val="FF99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800"/>
                  <a:buFont typeface="Consolas"/>
                  <a:buNone/>
                </a:pPr>
                <a:r>
                  <a:rPr lang="en-US" sz="8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ELECTRONIC INSTALLATION &amp; FLAG ASSEMBLY</a:t>
                </a:r>
                <a:endParaRPr sz="8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4182625" y="2923475"/>
                <a:ext cx="873000" cy="528000"/>
              </a:xfrm>
              <a:prstGeom prst="rect">
                <a:avLst/>
              </a:prstGeom>
              <a:solidFill>
                <a:srgbClr val="FF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SECURE CHASSIS &amp; QUALITY CHECK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12" name="Shape 12"/>
              <xdr:cNvSpPr/>
            </xdr:nvSpPr>
            <xdr:spPr>
              <a:xfrm>
                <a:off x="2069725" y="1704350"/>
                <a:ext cx="3858300" cy="847500"/>
              </a:xfrm>
              <a:prstGeom prst="rect">
                <a:avLst/>
              </a:prstGeom>
              <a:solidFill>
                <a:srgbClr val="D9D9D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TEMPORARY INVENTORY SPACE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13" name="Shape 13"/>
              <xdr:cNvSpPr/>
            </xdr:nvSpPr>
            <xdr:spPr>
              <a:xfrm>
                <a:off x="2069725" y="773450"/>
                <a:ext cx="3858300" cy="930900"/>
              </a:xfrm>
              <a:prstGeom prst="rect">
                <a:avLst/>
              </a:prstGeom>
              <a:solidFill>
                <a:srgbClr val="D9D9D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1,000 FT  INDOOR INVENTORY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3500500" y="1042350"/>
                <a:ext cx="204000" cy="307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2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15" name="Shape 15"/>
              <xdr:cNvSpPr/>
            </xdr:nvSpPr>
            <xdr:spPr>
              <a:xfrm>
                <a:off x="2314425" y="3111263"/>
                <a:ext cx="152400" cy="152400"/>
              </a:xfrm>
              <a:prstGeom prst="rect">
                <a:avLst/>
              </a:prstGeom>
              <a:solidFill>
                <a:srgbClr val="FF00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6" name="Shape 16"/>
              <xdr:cNvSpPr/>
            </xdr:nvSpPr>
            <xdr:spPr>
              <a:xfrm>
                <a:off x="3637425" y="2781300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4542913" y="2781300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8" name="Shape 18"/>
              <xdr:cNvSpPr/>
            </xdr:nvSpPr>
            <xdr:spPr>
              <a:xfrm>
                <a:off x="5366763" y="2781300"/>
                <a:ext cx="152400" cy="152400"/>
              </a:xfrm>
              <a:prstGeom prst="rect">
                <a:avLst/>
              </a:prstGeom>
              <a:solidFill>
                <a:srgbClr val="00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9" name="Shape 19"/>
              <xdr:cNvSpPr/>
            </xdr:nvSpPr>
            <xdr:spPr>
              <a:xfrm>
                <a:off x="5055675" y="2923475"/>
                <a:ext cx="806400" cy="528000"/>
              </a:xfrm>
              <a:prstGeom prst="rect">
                <a:avLst/>
              </a:prstGeom>
              <a:solidFill>
                <a:srgbClr val="00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PACKAGING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</xdr:grpSp>
      </xdr:grpSp>
    </xdr:grpSp>
    <xdr:clientData fLocksWithSheet="0"/>
  </xdr:oneCellAnchor>
  <xdr:oneCellAnchor>
    <xdr:from>
      <xdr:col>0</xdr:col>
      <xdr:colOff>352425</xdr:colOff>
      <xdr:row>34</xdr:row>
      <xdr:rowOff>95250</xdr:rowOff>
    </xdr:from>
    <xdr:ext cx="7715250" cy="5676900"/>
    <xdr:grpSp>
      <xdr:nvGrpSpPr>
        <xdr:cNvPr id="2" name="Shape 2"/>
        <xdr:cNvGrpSpPr/>
      </xdr:nvGrpSpPr>
      <xdr:grpSpPr>
        <a:xfrm>
          <a:off x="1488375" y="941550"/>
          <a:ext cx="7715250" cy="5676900"/>
          <a:chOff x="1488375" y="941550"/>
          <a:chExt cx="7715250" cy="5676900"/>
        </a:xfrm>
      </xdr:grpSpPr>
      <xdr:grpSp>
        <xdr:nvGrpSpPr>
          <xdr:cNvPr id="20" name="Shape 20"/>
          <xdr:cNvGrpSpPr/>
        </xdr:nvGrpSpPr>
        <xdr:grpSpPr>
          <a:xfrm>
            <a:off x="1488375" y="941550"/>
            <a:ext cx="7715250" cy="5676900"/>
            <a:chOff x="1488375" y="941550"/>
            <a:chExt cx="7715250" cy="5676900"/>
          </a:xfrm>
        </xdr:grpSpPr>
        <xdr:sp>
          <xdr:nvSpPr>
            <xdr:cNvPr id="4" name="Shape 4"/>
            <xdr:cNvSpPr/>
          </xdr:nvSpPr>
          <xdr:spPr>
            <a:xfrm>
              <a:off x="1488375" y="941550"/>
              <a:ext cx="7715250" cy="5676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1" name="Shape 21" title="Drawing"/>
            <xdr:cNvGrpSpPr/>
          </xdr:nvGrpSpPr>
          <xdr:grpSpPr>
            <a:xfrm>
              <a:off x="1488375" y="941550"/>
              <a:ext cx="7715250" cy="5676900"/>
              <a:chOff x="-192725" y="-60775"/>
              <a:chExt cx="7812726" cy="5657371"/>
            </a:xfrm>
          </xdr:grpSpPr>
          <xdr:sp>
            <xdr:nvSpPr>
              <xdr:cNvPr id="22" name="Shape 22"/>
              <xdr:cNvSpPr/>
            </xdr:nvSpPr>
            <xdr:spPr>
              <a:xfrm>
                <a:off x="-192725" y="-60775"/>
                <a:ext cx="7812725" cy="5657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23" name="Shape 23" title="8800-South-Fwy-Fort-Worth-TX-Building-Photo-10-LargeHighDefinition.jpg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-192725" y="-60775"/>
                <a:ext cx="7812726" cy="565737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24" name="Shape 24"/>
              <xdr:cNvSpPr/>
            </xdr:nvSpPr>
            <xdr:spPr>
              <a:xfrm>
                <a:off x="1410975" y="3735550"/>
                <a:ext cx="1177500" cy="984600"/>
              </a:xfrm>
              <a:prstGeom prst="rect">
                <a:avLst/>
              </a:prstGeom>
              <a:solidFill>
                <a:srgbClr val="FF00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Consolas"/>
                  <a:buNone/>
                </a:pPr>
                <a:r>
                  <a:rPr lang="en-US" sz="10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INJECTION MOLDING</a:t>
                </a:r>
                <a:endParaRPr sz="10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25" name="Shape 25"/>
              <xdr:cNvSpPr/>
            </xdr:nvSpPr>
            <xdr:spPr>
              <a:xfrm>
                <a:off x="2466825" y="2923475"/>
                <a:ext cx="941400" cy="528000"/>
              </a:xfrm>
              <a:prstGeom prst="rect">
                <a:avLst/>
              </a:prstGeom>
              <a:solidFill>
                <a:srgbClr val="FF99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Consolas"/>
                  <a:buNone/>
                </a:pPr>
                <a:r>
                  <a:rPr lang="en-US" sz="10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ELECTRONIC ASSEMBLY</a:t>
                </a:r>
                <a:endParaRPr sz="10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26" name="Shape 26"/>
              <xdr:cNvSpPr/>
            </xdr:nvSpPr>
            <xdr:spPr>
              <a:xfrm>
                <a:off x="3408225" y="2923475"/>
                <a:ext cx="1044300" cy="528000"/>
              </a:xfrm>
              <a:prstGeom prst="rect">
                <a:avLst/>
              </a:prstGeom>
              <a:solidFill>
                <a:srgbClr val="FF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Consolas"/>
                  <a:buNone/>
                </a:pPr>
                <a:r>
                  <a:rPr lang="en-US" sz="1000">
                    <a:latin typeface="Consolas"/>
                    <a:ea typeface="Consolas"/>
                    <a:cs typeface="Consolas"/>
                    <a:sym typeface="Consolas"/>
                  </a:rPr>
                  <a:t>ELECTRONIC INSTALLATION</a:t>
                </a:r>
                <a:endParaRPr sz="10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27" name="Shape 27"/>
              <xdr:cNvSpPr/>
            </xdr:nvSpPr>
            <xdr:spPr>
              <a:xfrm>
                <a:off x="4452525" y="2923475"/>
                <a:ext cx="803400" cy="528000"/>
              </a:xfrm>
              <a:prstGeom prst="rect">
                <a:avLst/>
              </a:prstGeom>
              <a:solidFill>
                <a:srgbClr val="00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FLAG ASSEMBLY &amp; SECURE CHASSIS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28" name="Shape 28"/>
              <xdr:cNvSpPr/>
            </xdr:nvSpPr>
            <xdr:spPr>
              <a:xfrm>
                <a:off x="5255925" y="2923475"/>
                <a:ext cx="675600" cy="528000"/>
              </a:xfrm>
              <a:prstGeom prst="rect">
                <a:avLst/>
              </a:prstGeom>
              <a:solidFill>
                <a:srgbClr val="4A86E8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800"/>
                  <a:buFont typeface="Consolas"/>
                  <a:buNone/>
                </a:pPr>
                <a:r>
                  <a:rPr lang="en-US" sz="8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QUALITY CHECK</a:t>
                </a:r>
                <a:endParaRPr sz="8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29" name="Shape 29"/>
              <xdr:cNvSpPr/>
            </xdr:nvSpPr>
            <xdr:spPr>
              <a:xfrm>
                <a:off x="4930425" y="1999452"/>
                <a:ext cx="917100" cy="528300"/>
              </a:xfrm>
              <a:prstGeom prst="rect">
                <a:avLst/>
              </a:prstGeom>
              <a:solidFill>
                <a:srgbClr val="9900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000"/>
                  <a:buFont typeface="Consolas"/>
                  <a:buNone/>
                </a:pPr>
                <a:r>
                  <a:rPr lang="en-US" sz="10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PACKAGING</a:t>
                </a:r>
                <a:endParaRPr sz="10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30" name="Shape 30"/>
              <xdr:cNvSpPr/>
            </xdr:nvSpPr>
            <xdr:spPr>
              <a:xfrm>
                <a:off x="2069725" y="773450"/>
                <a:ext cx="3858300" cy="930900"/>
              </a:xfrm>
              <a:prstGeom prst="rect">
                <a:avLst/>
              </a:prstGeom>
              <a:solidFill>
                <a:srgbClr val="D9D9D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000"/>
                  <a:buFont typeface="Consolas"/>
                  <a:buNone/>
                </a:pPr>
                <a:r>
                  <a:rPr lang="en-US" sz="1000">
                    <a:latin typeface="Consolas"/>
                    <a:ea typeface="Consolas"/>
                    <a:cs typeface="Consolas"/>
                    <a:sym typeface="Consolas"/>
                  </a:rPr>
                  <a:t>1,000 FT  INDOOR INVENTORY</a:t>
                </a:r>
                <a:endParaRPr sz="10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31" name="Shape 31"/>
              <xdr:cNvSpPr/>
            </xdr:nvSpPr>
            <xdr:spPr>
              <a:xfrm>
                <a:off x="1563225" y="3532550"/>
                <a:ext cx="152400" cy="152400"/>
              </a:xfrm>
              <a:prstGeom prst="rect">
                <a:avLst/>
              </a:prstGeom>
              <a:solidFill>
                <a:srgbClr val="FF00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2" name="Shape 32"/>
              <xdr:cNvSpPr/>
            </xdr:nvSpPr>
            <xdr:spPr>
              <a:xfrm>
                <a:off x="2771325" y="2781300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3" name="Shape 33"/>
              <xdr:cNvSpPr/>
            </xdr:nvSpPr>
            <xdr:spPr>
              <a:xfrm>
                <a:off x="2771325" y="3451475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4" name="Shape 34"/>
              <xdr:cNvSpPr/>
            </xdr:nvSpPr>
            <xdr:spPr>
              <a:xfrm>
                <a:off x="3854175" y="2781300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5" name="Shape 35"/>
              <xdr:cNvSpPr/>
            </xdr:nvSpPr>
            <xdr:spPr>
              <a:xfrm>
                <a:off x="4778013" y="2781300"/>
                <a:ext cx="152400" cy="152400"/>
              </a:xfrm>
              <a:prstGeom prst="rect">
                <a:avLst/>
              </a:prstGeom>
              <a:solidFill>
                <a:srgbClr val="00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6" name="Shape 36"/>
              <xdr:cNvSpPr/>
            </xdr:nvSpPr>
            <xdr:spPr>
              <a:xfrm>
                <a:off x="5517513" y="2781300"/>
                <a:ext cx="152400" cy="152400"/>
              </a:xfrm>
              <a:prstGeom prst="rect">
                <a:avLst/>
              </a:prstGeom>
              <a:solidFill>
                <a:srgbClr val="4A86E8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7" name="Shape 37"/>
              <xdr:cNvSpPr/>
            </xdr:nvSpPr>
            <xdr:spPr>
              <a:xfrm>
                <a:off x="5312763" y="2527750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8" name="Shape 38"/>
              <xdr:cNvSpPr/>
            </xdr:nvSpPr>
            <xdr:spPr>
              <a:xfrm>
                <a:off x="2069725" y="1704350"/>
                <a:ext cx="2860800" cy="823500"/>
              </a:xfrm>
              <a:prstGeom prst="rect">
                <a:avLst/>
              </a:prstGeom>
              <a:solidFill>
                <a:srgbClr val="D9D9D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TEMPORARY INVENTORY SPACE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39" name="Shape 39"/>
              <xdr:cNvSpPr txBox="1"/>
            </xdr:nvSpPr>
            <xdr:spPr>
              <a:xfrm>
                <a:off x="3561400" y="1024925"/>
                <a:ext cx="204000" cy="307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2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</xdr:grpSp>
      </xdr:grpSp>
    </xdr:grpSp>
    <xdr:clientData fLocksWithSheet="0"/>
  </xdr:oneCellAnchor>
  <xdr:oneCellAnchor>
    <xdr:from>
      <xdr:col>0</xdr:col>
      <xdr:colOff>352425</xdr:colOff>
      <xdr:row>66</xdr:row>
      <xdr:rowOff>38100</xdr:rowOff>
    </xdr:from>
    <xdr:ext cx="7715250" cy="5676900"/>
    <xdr:grpSp>
      <xdr:nvGrpSpPr>
        <xdr:cNvPr id="2" name="Shape 2"/>
        <xdr:cNvGrpSpPr/>
      </xdr:nvGrpSpPr>
      <xdr:grpSpPr>
        <a:xfrm>
          <a:off x="1488375" y="941550"/>
          <a:ext cx="7715250" cy="5676900"/>
          <a:chOff x="1488375" y="941550"/>
          <a:chExt cx="7715250" cy="5676900"/>
        </a:xfrm>
      </xdr:grpSpPr>
      <xdr:grpSp>
        <xdr:nvGrpSpPr>
          <xdr:cNvPr id="40" name="Shape 40"/>
          <xdr:cNvGrpSpPr/>
        </xdr:nvGrpSpPr>
        <xdr:grpSpPr>
          <a:xfrm>
            <a:off x="1488375" y="941550"/>
            <a:ext cx="7715250" cy="5676900"/>
            <a:chOff x="1488375" y="941550"/>
            <a:chExt cx="7715250" cy="5676900"/>
          </a:xfrm>
        </xdr:grpSpPr>
        <xdr:sp>
          <xdr:nvSpPr>
            <xdr:cNvPr id="4" name="Shape 4"/>
            <xdr:cNvSpPr/>
          </xdr:nvSpPr>
          <xdr:spPr>
            <a:xfrm>
              <a:off x="1488375" y="941550"/>
              <a:ext cx="7715250" cy="5676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" name="Shape 41" title="Drawing"/>
            <xdr:cNvGrpSpPr/>
          </xdr:nvGrpSpPr>
          <xdr:grpSpPr>
            <a:xfrm>
              <a:off x="1488375" y="941550"/>
              <a:ext cx="7715250" cy="5676900"/>
              <a:chOff x="-192725" y="-60775"/>
              <a:chExt cx="7812726" cy="5657371"/>
            </a:xfrm>
          </xdr:grpSpPr>
          <xdr:sp>
            <xdr:nvSpPr>
              <xdr:cNvPr id="42" name="Shape 42"/>
              <xdr:cNvSpPr/>
            </xdr:nvSpPr>
            <xdr:spPr>
              <a:xfrm>
                <a:off x="-192725" y="-60775"/>
                <a:ext cx="7812725" cy="5657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43" name="Shape 43" title="8800-South-Fwy-Fort-Worth-TX-Building-Photo-10-LargeHighDefinition.jpg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-192725" y="-60775"/>
                <a:ext cx="7812726" cy="565737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44" name="Shape 44"/>
              <xdr:cNvSpPr/>
            </xdr:nvSpPr>
            <xdr:spPr>
              <a:xfrm>
                <a:off x="1410975" y="3735550"/>
                <a:ext cx="1177500" cy="984600"/>
              </a:xfrm>
              <a:prstGeom prst="rect">
                <a:avLst/>
              </a:prstGeom>
              <a:solidFill>
                <a:srgbClr val="FF00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INJECTION MOLDING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45" name="Shape 45"/>
              <xdr:cNvSpPr/>
            </xdr:nvSpPr>
            <xdr:spPr>
              <a:xfrm>
                <a:off x="2466825" y="2923475"/>
                <a:ext cx="1343100" cy="528000"/>
              </a:xfrm>
              <a:prstGeom prst="rect">
                <a:avLst/>
              </a:prstGeom>
              <a:solidFill>
                <a:srgbClr val="FF99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ELECTRONIC ASSEMBLY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46" name="Shape 46"/>
              <xdr:cNvSpPr/>
            </xdr:nvSpPr>
            <xdr:spPr>
              <a:xfrm>
                <a:off x="3809925" y="2923475"/>
                <a:ext cx="1245600" cy="528000"/>
              </a:xfrm>
              <a:prstGeom prst="rect">
                <a:avLst/>
              </a:prstGeom>
              <a:solidFill>
                <a:srgbClr val="FF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ELECTRONIC INSTALLATION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47" name="Shape 47"/>
              <xdr:cNvSpPr/>
            </xdr:nvSpPr>
            <xdr:spPr>
              <a:xfrm>
                <a:off x="5055300" y="2923475"/>
                <a:ext cx="873000" cy="528000"/>
              </a:xfrm>
              <a:prstGeom prst="rect">
                <a:avLst/>
              </a:prstGeom>
              <a:solidFill>
                <a:srgbClr val="00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FLAG ASSEMBLY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48" name="Shape 48"/>
              <xdr:cNvSpPr/>
            </xdr:nvSpPr>
            <xdr:spPr>
              <a:xfrm>
                <a:off x="5055300" y="1999875"/>
                <a:ext cx="873000" cy="528000"/>
              </a:xfrm>
              <a:prstGeom prst="rect">
                <a:avLst/>
              </a:prstGeom>
              <a:solidFill>
                <a:srgbClr val="4A86E8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SECURE CHASSIS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49" name="Shape 49"/>
              <xdr:cNvSpPr/>
            </xdr:nvSpPr>
            <xdr:spPr>
              <a:xfrm>
                <a:off x="3461625" y="1999875"/>
                <a:ext cx="1593600" cy="528000"/>
              </a:xfrm>
              <a:prstGeom prst="rect">
                <a:avLst/>
              </a:prstGeom>
              <a:solidFill>
                <a:srgbClr val="9900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QUALITY CHECK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50" name="Shape 50"/>
              <xdr:cNvSpPr/>
            </xdr:nvSpPr>
            <xdr:spPr>
              <a:xfrm>
                <a:off x="2466825" y="1999875"/>
                <a:ext cx="994800" cy="528000"/>
              </a:xfrm>
              <a:prstGeom prst="rect">
                <a:avLst/>
              </a:prstGeom>
              <a:solidFill>
                <a:srgbClr val="FF00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PACKAGING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51" name="Shape 51"/>
              <xdr:cNvSpPr/>
            </xdr:nvSpPr>
            <xdr:spPr>
              <a:xfrm>
                <a:off x="2069725" y="773450"/>
                <a:ext cx="3858300" cy="930900"/>
              </a:xfrm>
              <a:prstGeom prst="rect">
                <a:avLst/>
              </a:prstGeom>
              <a:solidFill>
                <a:srgbClr val="D9D9D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1,000 FT  INDOOR INVENTORY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52" name="Shape 52"/>
              <xdr:cNvSpPr/>
            </xdr:nvSpPr>
            <xdr:spPr>
              <a:xfrm>
                <a:off x="1563225" y="3532550"/>
                <a:ext cx="152400" cy="152400"/>
              </a:xfrm>
              <a:prstGeom prst="rect">
                <a:avLst/>
              </a:prstGeom>
              <a:solidFill>
                <a:srgbClr val="FF00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3" name="Shape 53"/>
              <xdr:cNvSpPr/>
            </xdr:nvSpPr>
            <xdr:spPr>
              <a:xfrm>
                <a:off x="3040425" y="2781300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4" name="Shape 54"/>
              <xdr:cNvSpPr/>
            </xdr:nvSpPr>
            <xdr:spPr>
              <a:xfrm>
                <a:off x="3040425" y="3451450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5" name="Shape 55"/>
              <xdr:cNvSpPr/>
            </xdr:nvSpPr>
            <xdr:spPr>
              <a:xfrm>
                <a:off x="4356413" y="3451450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6" name="Shape 56"/>
              <xdr:cNvSpPr/>
            </xdr:nvSpPr>
            <xdr:spPr>
              <a:xfrm>
                <a:off x="5415588" y="3451475"/>
                <a:ext cx="152400" cy="152400"/>
              </a:xfrm>
              <a:prstGeom prst="rect">
                <a:avLst/>
              </a:prstGeom>
              <a:solidFill>
                <a:srgbClr val="00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7" name="Shape 57"/>
              <xdr:cNvSpPr/>
            </xdr:nvSpPr>
            <xdr:spPr>
              <a:xfrm>
                <a:off x="5415588" y="2501713"/>
                <a:ext cx="152400" cy="152400"/>
              </a:xfrm>
              <a:prstGeom prst="rect">
                <a:avLst/>
              </a:prstGeom>
              <a:solidFill>
                <a:srgbClr val="4A86E8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8" name="Shape 58"/>
              <xdr:cNvSpPr/>
            </xdr:nvSpPr>
            <xdr:spPr>
              <a:xfrm>
                <a:off x="4182250" y="1847463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59" name="Shape 59"/>
              <xdr:cNvSpPr/>
            </xdr:nvSpPr>
            <xdr:spPr>
              <a:xfrm>
                <a:off x="4182263" y="2501700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60" name="Shape 60"/>
              <xdr:cNvSpPr/>
            </xdr:nvSpPr>
            <xdr:spPr>
              <a:xfrm>
                <a:off x="2888013" y="2501700"/>
                <a:ext cx="152400" cy="152400"/>
              </a:xfrm>
              <a:prstGeom prst="rect">
                <a:avLst/>
              </a:prstGeom>
              <a:solidFill>
                <a:srgbClr val="FF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61" name="Shape 61"/>
              <xdr:cNvSpPr txBox="1"/>
            </xdr:nvSpPr>
            <xdr:spPr>
              <a:xfrm>
                <a:off x="3505925" y="1034175"/>
                <a:ext cx="204000" cy="307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2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</xdr:grpSp>
      </xdr:grpSp>
    </xdr:grpSp>
    <xdr:clientData fLocksWithSheet="0"/>
  </xdr:oneCellAnchor>
  <xdr:oneCellAnchor>
    <xdr:from>
      <xdr:col>0</xdr:col>
      <xdr:colOff>352425</xdr:colOff>
      <xdr:row>98</xdr:row>
      <xdr:rowOff>66675</xdr:rowOff>
    </xdr:from>
    <xdr:ext cx="7734300" cy="5695950"/>
    <xdr:grpSp>
      <xdr:nvGrpSpPr>
        <xdr:cNvPr id="2" name="Shape 2" title="Drawing"/>
        <xdr:cNvGrpSpPr/>
      </xdr:nvGrpSpPr>
      <xdr:grpSpPr>
        <a:xfrm>
          <a:off x="1488375" y="941550"/>
          <a:ext cx="7715250" cy="5676900"/>
          <a:chOff x="1488375" y="941550"/>
          <a:chExt cx="7715250" cy="5676900"/>
        </a:xfrm>
      </xdr:grpSpPr>
      <xdr:grpSp>
        <xdr:nvGrpSpPr>
          <xdr:cNvPr id="62" name="Shape 62"/>
          <xdr:cNvGrpSpPr/>
        </xdr:nvGrpSpPr>
        <xdr:grpSpPr>
          <a:xfrm>
            <a:off x="1488375" y="941550"/>
            <a:ext cx="7715250" cy="5676900"/>
            <a:chOff x="1488375" y="941550"/>
            <a:chExt cx="7715250" cy="5676900"/>
          </a:xfrm>
        </xdr:grpSpPr>
        <xdr:sp>
          <xdr:nvSpPr>
            <xdr:cNvPr id="4" name="Shape 4"/>
            <xdr:cNvSpPr/>
          </xdr:nvSpPr>
          <xdr:spPr>
            <a:xfrm>
              <a:off x="1488375" y="941550"/>
              <a:ext cx="7715250" cy="5676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3" name="Shape 63" title="Drawing"/>
            <xdr:cNvGrpSpPr/>
          </xdr:nvGrpSpPr>
          <xdr:grpSpPr>
            <a:xfrm>
              <a:off x="1488375" y="941550"/>
              <a:ext cx="7715250" cy="5676900"/>
              <a:chOff x="-192725" y="-60775"/>
              <a:chExt cx="7812726" cy="5657371"/>
            </a:xfrm>
          </xdr:grpSpPr>
          <xdr:sp>
            <xdr:nvSpPr>
              <xdr:cNvPr id="64" name="Shape 64"/>
              <xdr:cNvSpPr/>
            </xdr:nvSpPr>
            <xdr:spPr>
              <a:xfrm>
                <a:off x="-192725" y="-60775"/>
                <a:ext cx="7812725" cy="5657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65" name="Shape 65" title="8800-South-Fwy-Fort-Worth-TX-Building-Photo-10-LargeHighDefinition.jpg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-192725" y="-60775"/>
                <a:ext cx="7812726" cy="565737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66" name="Shape 66"/>
              <xdr:cNvSpPr/>
            </xdr:nvSpPr>
            <xdr:spPr>
              <a:xfrm>
                <a:off x="1410975" y="3735550"/>
                <a:ext cx="1177500" cy="984600"/>
              </a:xfrm>
              <a:prstGeom prst="rect">
                <a:avLst/>
              </a:prstGeom>
              <a:solidFill>
                <a:srgbClr val="FF00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INJECTION MOLDING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67" name="Shape 67"/>
              <xdr:cNvSpPr/>
            </xdr:nvSpPr>
            <xdr:spPr>
              <a:xfrm>
                <a:off x="2466825" y="2923475"/>
                <a:ext cx="1343100" cy="528000"/>
              </a:xfrm>
              <a:prstGeom prst="rect">
                <a:avLst/>
              </a:prstGeom>
              <a:solidFill>
                <a:srgbClr val="FF99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ELECTRONIC ASSEMBLY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68" name="Shape 68"/>
              <xdr:cNvSpPr/>
            </xdr:nvSpPr>
            <xdr:spPr>
              <a:xfrm>
                <a:off x="3809925" y="2923475"/>
                <a:ext cx="1245600" cy="528000"/>
              </a:xfrm>
              <a:prstGeom prst="rect">
                <a:avLst/>
              </a:prstGeom>
              <a:solidFill>
                <a:srgbClr val="FF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ELECTRONIC INSTALLATION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69" name="Shape 69"/>
              <xdr:cNvSpPr/>
            </xdr:nvSpPr>
            <xdr:spPr>
              <a:xfrm>
                <a:off x="5055300" y="2923475"/>
                <a:ext cx="873000" cy="528000"/>
              </a:xfrm>
              <a:prstGeom prst="rect">
                <a:avLst/>
              </a:prstGeom>
              <a:solidFill>
                <a:srgbClr val="00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FLAG ASSEMBLY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70" name="Shape 70"/>
              <xdr:cNvSpPr/>
            </xdr:nvSpPr>
            <xdr:spPr>
              <a:xfrm>
                <a:off x="5055300" y="1999875"/>
                <a:ext cx="873000" cy="528000"/>
              </a:xfrm>
              <a:prstGeom prst="rect">
                <a:avLst/>
              </a:prstGeom>
              <a:solidFill>
                <a:srgbClr val="4A86E8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SECURE CHASSIS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71" name="Shape 71"/>
              <xdr:cNvSpPr/>
            </xdr:nvSpPr>
            <xdr:spPr>
              <a:xfrm>
                <a:off x="3461625" y="1999875"/>
                <a:ext cx="1593600" cy="528000"/>
              </a:xfrm>
              <a:prstGeom prst="rect">
                <a:avLst/>
              </a:prstGeom>
              <a:solidFill>
                <a:srgbClr val="9900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QUALITY CHECK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72" name="Shape 72"/>
              <xdr:cNvSpPr/>
            </xdr:nvSpPr>
            <xdr:spPr>
              <a:xfrm>
                <a:off x="2466825" y="1999875"/>
                <a:ext cx="994800" cy="528000"/>
              </a:xfrm>
              <a:prstGeom prst="rect">
                <a:avLst/>
              </a:prstGeom>
              <a:solidFill>
                <a:srgbClr val="FF00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PACKAGING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73" name="Shape 73"/>
              <xdr:cNvSpPr/>
            </xdr:nvSpPr>
            <xdr:spPr>
              <a:xfrm>
                <a:off x="2069725" y="773450"/>
                <a:ext cx="3858300" cy="930900"/>
              </a:xfrm>
              <a:prstGeom prst="rect">
                <a:avLst/>
              </a:prstGeom>
              <a:solidFill>
                <a:srgbClr val="D9D9D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1,000 FT  INDOOR INVENTORY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74" name="Shape 74"/>
              <xdr:cNvSpPr/>
            </xdr:nvSpPr>
            <xdr:spPr>
              <a:xfrm>
                <a:off x="1563225" y="3532550"/>
                <a:ext cx="152400" cy="152400"/>
              </a:xfrm>
              <a:prstGeom prst="rect">
                <a:avLst/>
              </a:prstGeom>
              <a:solidFill>
                <a:srgbClr val="FF00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5" name="Shape 75"/>
              <xdr:cNvSpPr/>
            </xdr:nvSpPr>
            <xdr:spPr>
              <a:xfrm>
                <a:off x="3062175" y="3424499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6" name="Shape 76"/>
              <xdr:cNvSpPr/>
            </xdr:nvSpPr>
            <xdr:spPr>
              <a:xfrm>
                <a:off x="2762869" y="2781296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7" name="Shape 77"/>
              <xdr:cNvSpPr/>
            </xdr:nvSpPr>
            <xdr:spPr>
              <a:xfrm>
                <a:off x="4356525" y="2781300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8" name="Shape 78"/>
              <xdr:cNvSpPr/>
            </xdr:nvSpPr>
            <xdr:spPr>
              <a:xfrm>
                <a:off x="4356413" y="3451475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9" name="Shape 79"/>
              <xdr:cNvSpPr/>
            </xdr:nvSpPr>
            <xdr:spPr>
              <a:xfrm>
                <a:off x="5415588" y="3451475"/>
                <a:ext cx="152400" cy="152400"/>
              </a:xfrm>
              <a:prstGeom prst="rect">
                <a:avLst/>
              </a:prstGeom>
              <a:solidFill>
                <a:srgbClr val="00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0" name="Shape 80"/>
              <xdr:cNvSpPr/>
            </xdr:nvSpPr>
            <xdr:spPr>
              <a:xfrm>
                <a:off x="5415588" y="2501713"/>
                <a:ext cx="152400" cy="152400"/>
              </a:xfrm>
              <a:prstGeom prst="rect">
                <a:avLst/>
              </a:prstGeom>
              <a:solidFill>
                <a:srgbClr val="4A86E8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1" name="Shape 81"/>
              <xdr:cNvSpPr/>
            </xdr:nvSpPr>
            <xdr:spPr>
              <a:xfrm>
                <a:off x="4182250" y="1847463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2" name="Shape 82"/>
              <xdr:cNvSpPr/>
            </xdr:nvSpPr>
            <xdr:spPr>
              <a:xfrm>
                <a:off x="4182263" y="2501700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3" name="Shape 83"/>
              <xdr:cNvSpPr/>
            </xdr:nvSpPr>
            <xdr:spPr>
              <a:xfrm>
                <a:off x="2888013" y="1847463"/>
                <a:ext cx="152400" cy="152400"/>
              </a:xfrm>
              <a:prstGeom prst="rect">
                <a:avLst/>
              </a:prstGeom>
              <a:solidFill>
                <a:srgbClr val="FF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4" name="Shape 84"/>
              <xdr:cNvSpPr/>
            </xdr:nvSpPr>
            <xdr:spPr>
              <a:xfrm>
                <a:off x="2888013" y="2501700"/>
                <a:ext cx="152400" cy="152400"/>
              </a:xfrm>
              <a:prstGeom prst="rect">
                <a:avLst/>
              </a:prstGeom>
              <a:solidFill>
                <a:srgbClr val="FF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5" name="Shape 85"/>
              <xdr:cNvSpPr txBox="1"/>
            </xdr:nvSpPr>
            <xdr:spPr>
              <a:xfrm>
                <a:off x="3505375" y="1040200"/>
                <a:ext cx="204000" cy="307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2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</xdr:grpSp>
      </xdr:grpSp>
      <xdr:sp>
        <xdr:nvSpPr>
          <xdr:cNvPr id="86" name="Shape 86"/>
          <xdr:cNvSpPr/>
        </xdr:nvSpPr>
        <xdr:spPr>
          <a:xfrm>
            <a:off x="4998179" y="3794465"/>
            <a:ext cx="150600" cy="153000"/>
          </a:xfrm>
          <a:prstGeom prst="rect">
            <a:avLst/>
          </a:prstGeom>
          <a:solidFill>
            <a:srgbClr val="FF9900"/>
          </a:solidFill>
          <a:ln cap="flat" cmpd="sng" w="19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SzPts val="1400"/>
              <a:buFont typeface="Arial"/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352425</xdr:colOff>
      <xdr:row>130</xdr:row>
      <xdr:rowOff>123825</xdr:rowOff>
    </xdr:from>
    <xdr:ext cx="7715250" cy="5676900"/>
    <xdr:grpSp>
      <xdr:nvGrpSpPr>
        <xdr:cNvPr id="2" name="Shape 2"/>
        <xdr:cNvGrpSpPr/>
      </xdr:nvGrpSpPr>
      <xdr:grpSpPr>
        <a:xfrm>
          <a:off x="1488375" y="941550"/>
          <a:ext cx="7715250" cy="5676900"/>
          <a:chOff x="1488375" y="941550"/>
          <a:chExt cx="7715250" cy="5676900"/>
        </a:xfrm>
      </xdr:grpSpPr>
      <xdr:grpSp>
        <xdr:nvGrpSpPr>
          <xdr:cNvPr id="87" name="Shape 87"/>
          <xdr:cNvGrpSpPr/>
        </xdr:nvGrpSpPr>
        <xdr:grpSpPr>
          <a:xfrm>
            <a:off x="1488375" y="941550"/>
            <a:ext cx="7715250" cy="5676900"/>
            <a:chOff x="1488375" y="941550"/>
            <a:chExt cx="7715250" cy="5676900"/>
          </a:xfrm>
        </xdr:grpSpPr>
        <xdr:sp>
          <xdr:nvSpPr>
            <xdr:cNvPr id="4" name="Shape 4"/>
            <xdr:cNvSpPr/>
          </xdr:nvSpPr>
          <xdr:spPr>
            <a:xfrm>
              <a:off x="1488375" y="941550"/>
              <a:ext cx="7715250" cy="5676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8" name="Shape 88" title="Drawing"/>
            <xdr:cNvGrpSpPr/>
          </xdr:nvGrpSpPr>
          <xdr:grpSpPr>
            <a:xfrm>
              <a:off x="1488375" y="941550"/>
              <a:ext cx="7715250" cy="5676900"/>
              <a:chOff x="-192725" y="-60775"/>
              <a:chExt cx="7812726" cy="5657371"/>
            </a:xfrm>
          </xdr:grpSpPr>
          <xdr:sp>
            <xdr:nvSpPr>
              <xdr:cNvPr id="89" name="Shape 89"/>
              <xdr:cNvSpPr/>
            </xdr:nvSpPr>
            <xdr:spPr>
              <a:xfrm>
                <a:off x="-192725" y="-60775"/>
                <a:ext cx="7812725" cy="5657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90" name="Shape 90" title="8800-South-Fwy-Fort-Worth-TX-Building-Photo-10-LargeHighDefinition.jpg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-192725" y="-60775"/>
                <a:ext cx="7812726" cy="565737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91" name="Shape 91"/>
              <xdr:cNvSpPr/>
            </xdr:nvSpPr>
            <xdr:spPr>
              <a:xfrm>
                <a:off x="1410975" y="3735550"/>
                <a:ext cx="1177500" cy="984600"/>
              </a:xfrm>
              <a:prstGeom prst="rect">
                <a:avLst/>
              </a:prstGeom>
              <a:solidFill>
                <a:srgbClr val="FF00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INJECTION MOLDING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2" name="Shape 92"/>
              <xdr:cNvSpPr/>
            </xdr:nvSpPr>
            <xdr:spPr>
              <a:xfrm>
                <a:off x="2466825" y="2923475"/>
                <a:ext cx="1343100" cy="528000"/>
              </a:xfrm>
              <a:prstGeom prst="rect">
                <a:avLst/>
              </a:prstGeom>
              <a:solidFill>
                <a:srgbClr val="FF99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ELECTRONIC ASSEMBLY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3" name="Shape 93"/>
              <xdr:cNvSpPr/>
            </xdr:nvSpPr>
            <xdr:spPr>
              <a:xfrm>
                <a:off x="3809925" y="2923475"/>
                <a:ext cx="1245600" cy="528000"/>
              </a:xfrm>
              <a:prstGeom prst="rect">
                <a:avLst/>
              </a:prstGeom>
              <a:solidFill>
                <a:srgbClr val="FF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ELECTRONIC INSTALLATION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4" name="Shape 94"/>
              <xdr:cNvSpPr/>
            </xdr:nvSpPr>
            <xdr:spPr>
              <a:xfrm>
                <a:off x="5055300" y="2923475"/>
                <a:ext cx="873000" cy="528000"/>
              </a:xfrm>
              <a:prstGeom prst="rect">
                <a:avLst/>
              </a:prstGeom>
              <a:solidFill>
                <a:srgbClr val="00FF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FLAG ASSEMBLY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5" name="Shape 95"/>
              <xdr:cNvSpPr/>
            </xdr:nvSpPr>
            <xdr:spPr>
              <a:xfrm>
                <a:off x="5055300" y="1999875"/>
                <a:ext cx="873000" cy="528000"/>
              </a:xfrm>
              <a:prstGeom prst="rect">
                <a:avLst/>
              </a:prstGeom>
              <a:solidFill>
                <a:srgbClr val="4A86E8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SECURE CHASSIS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6" name="Shape 96"/>
              <xdr:cNvSpPr/>
            </xdr:nvSpPr>
            <xdr:spPr>
              <a:xfrm>
                <a:off x="3461625" y="1999875"/>
                <a:ext cx="1593600" cy="528000"/>
              </a:xfrm>
              <a:prstGeom prst="rect">
                <a:avLst/>
              </a:prstGeom>
              <a:solidFill>
                <a:srgbClr val="9900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QUALITY CHECK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7" name="Shape 97"/>
              <xdr:cNvSpPr/>
            </xdr:nvSpPr>
            <xdr:spPr>
              <a:xfrm>
                <a:off x="2466825" y="1999875"/>
                <a:ext cx="994800" cy="528000"/>
              </a:xfrm>
              <a:prstGeom prst="rect">
                <a:avLst/>
              </a:prstGeom>
              <a:solidFill>
                <a:srgbClr val="FF00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200"/>
                  <a:buFont typeface="Consolas"/>
                  <a:buNone/>
                </a:pPr>
                <a:r>
                  <a:rPr lang="en-US" sz="1200">
                    <a:solidFill>
                      <a:srgbClr val="FFFFFF"/>
                    </a:solidFill>
                    <a:latin typeface="Consolas"/>
                    <a:ea typeface="Consolas"/>
                    <a:cs typeface="Consolas"/>
                    <a:sym typeface="Consolas"/>
                  </a:rPr>
                  <a:t>PACKAGING</a:t>
                </a:r>
                <a:endParaRPr sz="1200">
                  <a:solidFill>
                    <a:srgbClr val="FFFFFF"/>
                  </a:solidFill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8" name="Shape 98"/>
              <xdr:cNvSpPr/>
            </xdr:nvSpPr>
            <xdr:spPr>
              <a:xfrm>
                <a:off x="2069725" y="773450"/>
                <a:ext cx="3858300" cy="930900"/>
              </a:xfrm>
              <a:prstGeom prst="rect">
                <a:avLst/>
              </a:prstGeom>
              <a:solidFill>
                <a:srgbClr val="D9D9D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200"/>
                  <a:buFont typeface="Consolas"/>
                  <a:buNone/>
                </a:pPr>
                <a:r>
                  <a:rPr lang="en-US" sz="1200">
                    <a:latin typeface="Consolas"/>
                    <a:ea typeface="Consolas"/>
                    <a:cs typeface="Consolas"/>
                    <a:sym typeface="Consolas"/>
                  </a:rPr>
                  <a:t>1,000 FT  INDOOR INVENTORY</a:t>
                </a:r>
                <a:endParaRPr sz="12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  <xdr:sp>
            <xdr:nvSpPr>
              <xdr:cNvPr id="99" name="Shape 99"/>
              <xdr:cNvSpPr/>
            </xdr:nvSpPr>
            <xdr:spPr>
              <a:xfrm>
                <a:off x="1563225" y="3532550"/>
                <a:ext cx="152400" cy="152400"/>
              </a:xfrm>
              <a:prstGeom prst="rect">
                <a:avLst/>
              </a:prstGeom>
              <a:solidFill>
                <a:srgbClr val="FF00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0" name="Shape 100"/>
              <xdr:cNvSpPr/>
            </xdr:nvSpPr>
            <xdr:spPr>
              <a:xfrm>
                <a:off x="2771325" y="2781300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1" name="Shape 101"/>
              <xdr:cNvSpPr/>
            </xdr:nvSpPr>
            <xdr:spPr>
              <a:xfrm>
                <a:off x="3360200" y="2781300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2" name="Shape 102"/>
              <xdr:cNvSpPr/>
            </xdr:nvSpPr>
            <xdr:spPr>
              <a:xfrm>
                <a:off x="2771325" y="3451475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3" name="Shape 103"/>
              <xdr:cNvSpPr/>
            </xdr:nvSpPr>
            <xdr:spPr>
              <a:xfrm>
                <a:off x="3360200" y="3451475"/>
                <a:ext cx="152400" cy="152400"/>
              </a:xfrm>
              <a:prstGeom prst="rect">
                <a:avLst/>
              </a:prstGeom>
              <a:solidFill>
                <a:srgbClr val="FF99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4" name="Shape 104"/>
              <xdr:cNvSpPr/>
            </xdr:nvSpPr>
            <xdr:spPr>
              <a:xfrm>
                <a:off x="4356413" y="3451475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5" name="Shape 105"/>
              <xdr:cNvSpPr/>
            </xdr:nvSpPr>
            <xdr:spPr>
              <a:xfrm>
                <a:off x="4097038" y="2781300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6" name="Shape 106"/>
              <xdr:cNvSpPr/>
            </xdr:nvSpPr>
            <xdr:spPr>
              <a:xfrm>
                <a:off x="4556850" y="2781300"/>
                <a:ext cx="152400" cy="152400"/>
              </a:xfrm>
              <a:prstGeom prst="rect">
                <a:avLst/>
              </a:prstGeom>
              <a:solidFill>
                <a:srgbClr val="FF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7" name="Shape 107"/>
              <xdr:cNvSpPr/>
            </xdr:nvSpPr>
            <xdr:spPr>
              <a:xfrm>
                <a:off x="5415588" y="3451475"/>
                <a:ext cx="152400" cy="152400"/>
              </a:xfrm>
              <a:prstGeom prst="rect">
                <a:avLst/>
              </a:prstGeom>
              <a:solidFill>
                <a:srgbClr val="00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8" name="Shape 108"/>
              <xdr:cNvSpPr/>
            </xdr:nvSpPr>
            <xdr:spPr>
              <a:xfrm>
                <a:off x="5415588" y="2781300"/>
                <a:ext cx="152400" cy="152400"/>
              </a:xfrm>
              <a:prstGeom prst="rect">
                <a:avLst/>
              </a:prstGeom>
              <a:solidFill>
                <a:srgbClr val="00FF00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09" name="Shape 109"/>
              <xdr:cNvSpPr/>
            </xdr:nvSpPr>
            <xdr:spPr>
              <a:xfrm>
                <a:off x="5415588" y="2501713"/>
                <a:ext cx="152400" cy="152400"/>
              </a:xfrm>
              <a:prstGeom prst="rect">
                <a:avLst/>
              </a:prstGeom>
              <a:solidFill>
                <a:srgbClr val="4A86E8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0" name="Shape 110"/>
              <xdr:cNvSpPr/>
            </xdr:nvSpPr>
            <xdr:spPr>
              <a:xfrm>
                <a:off x="5415588" y="1847463"/>
                <a:ext cx="152400" cy="152400"/>
              </a:xfrm>
              <a:prstGeom prst="rect">
                <a:avLst/>
              </a:prstGeom>
              <a:solidFill>
                <a:srgbClr val="4A86E8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1" name="Shape 111"/>
              <xdr:cNvSpPr/>
            </xdr:nvSpPr>
            <xdr:spPr>
              <a:xfrm>
                <a:off x="3909013" y="2501688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2" name="Shape 112"/>
              <xdr:cNvSpPr/>
            </xdr:nvSpPr>
            <xdr:spPr>
              <a:xfrm>
                <a:off x="4508825" y="2501688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3" name="Shape 113"/>
              <xdr:cNvSpPr/>
            </xdr:nvSpPr>
            <xdr:spPr>
              <a:xfrm>
                <a:off x="4185725" y="1847475"/>
                <a:ext cx="152400" cy="152400"/>
              </a:xfrm>
              <a:prstGeom prst="rect">
                <a:avLst/>
              </a:prstGeom>
              <a:solidFill>
                <a:srgbClr val="99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4" name="Shape 114"/>
              <xdr:cNvSpPr/>
            </xdr:nvSpPr>
            <xdr:spPr>
              <a:xfrm>
                <a:off x="2888013" y="1847463"/>
                <a:ext cx="152400" cy="152400"/>
              </a:xfrm>
              <a:prstGeom prst="rect">
                <a:avLst/>
              </a:prstGeom>
              <a:solidFill>
                <a:srgbClr val="FF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5" name="Shape 115"/>
              <xdr:cNvSpPr/>
            </xdr:nvSpPr>
            <xdr:spPr>
              <a:xfrm>
                <a:off x="2888013" y="2501700"/>
                <a:ext cx="152400" cy="152400"/>
              </a:xfrm>
              <a:prstGeom prst="rect">
                <a:avLst/>
              </a:prstGeom>
              <a:solidFill>
                <a:srgbClr val="FF00FF"/>
              </a:solidFill>
              <a:ln cap="flat" cmpd="sng" w="19050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6" name="Shape 116"/>
              <xdr:cNvSpPr txBox="1"/>
            </xdr:nvSpPr>
            <xdr:spPr>
              <a:xfrm>
                <a:off x="3512600" y="1024925"/>
                <a:ext cx="204000" cy="307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800"/>
                  <a:buFont typeface="Consolas"/>
                  <a:buNone/>
                </a:pPr>
                <a:r>
                  <a:rPr lang="en-US" sz="800">
                    <a:latin typeface="Consolas"/>
                    <a:ea typeface="Consolas"/>
                    <a:cs typeface="Consolas"/>
                    <a:sym typeface="Consolas"/>
                  </a:rPr>
                  <a:t>2</a:t>
                </a:r>
                <a:endParaRPr sz="800">
                  <a:latin typeface="Consolas"/>
                  <a:ea typeface="Consolas"/>
                  <a:cs typeface="Consolas"/>
                  <a:sym typeface="Consolas"/>
                </a:endParaRPr>
              </a:p>
            </xdr:txBody>
          </xdr:sp>
        </xdr:grpSp>
      </xdr:grpSp>
    </xdr:grp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B17" displayName="Table_1" name="Table_1" id="1">
  <tableColumns count="1">
    <tableColumn name="COMPONENT" id="1"/>
  </tableColumns>
  <tableStyleInfo name="OM Raw Material Data-style" showColumnStripes="0" showFirstColumn="1" showLastColumn="1" showRowStripes="1"/>
</table>
</file>

<file path=xl/tables/table2.xml><?xml version="1.0" encoding="utf-8"?>
<table xmlns="http://schemas.openxmlformats.org/spreadsheetml/2006/main" ref="B20:B34" displayName="Table_2" name="Table_2" id="2">
  <tableColumns count="1">
    <tableColumn name="COMPONENT" id="1"/>
  </tableColumns>
  <tableStyleInfo name="OM Raw Material Data-style 2" showColumnStripes="0" showFirstColumn="1" showLastColumn="1" showRowStripes="1"/>
</table>
</file>

<file path=xl/tables/table3.xml><?xml version="1.0" encoding="utf-8"?>
<table xmlns="http://schemas.openxmlformats.org/spreadsheetml/2006/main" ref="B37:G51" displayName="Table_3" name="Table_3" id="3">
  <tableColumns count="6">
    <tableColumn name="COMPONENT" id="1"/>
    <tableColumn name="CYCLE STOCK UNITS" id="2"/>
    <tableColumn name="CYCLE STOCK VALUE" id="3"/>
    <tableColumn name="SAFETY STOCK UNITS" id="4"/>
    <tableColumn name="SAFETY STOCK VALUE" id="5"/>
    <tableColumn name="TOTAL RM INVENTORY VALUE" id="6"/>
  </tableColumns>
  <tableStyleInfo name="OM Raw Material Data-style 3" showColumnStripes="0" showFirstColumn="1" showLastColumn="1" showRowStripes="1"/>
</table>
</file>

<file path=xl/tables/table4.xml><?xml version="1.0" encoding="utf-8"?>
<table xmlns="http://schemas.openxmlformats.org/spreadsheetml/2006/main" ref="B54:G68" displayName="Table_4" name="Table_4" id="4">
  <tableColumns count="6">
    <tableColumn name="COMPONENT" id="1"/>
    <tableColumn name="CYCLE STOCK UNITS" id="2"/>
    <tableColumn name="CYCLE STOCK VALUE" id="3"/>
    <tableColumn name="SAFETY STOCK UNITS" id="4"/>
    <tableColumn name="SAFETY STOCK VALUE" id="5"/>
    <tableColumn name="TOTAL RM INVENTORY VALUE" id="6"/>
  </tableColumns>
  <tableStyleInfo name="OM Raw Material Data-style 4" showColumnStripes="0" showFirstColumn="1" showLastColumn="1" showRowStripes="1"/>
</table>
</file>

<file path=xl/tables/table5.xml><?xml version="1.0" encoding="utf-8"?>
<table xmlns="http://schemas.openxmlformats.org/spreadsheetml/2006/main" ref="B71:G85" displayName="Table_5" name="Table_5" id="5">
  <tableColumns count="6">
    <tableColumn name="COMPONENT" id="1"/>
    <tableColumn name="CYCLE STOCK UNITS" id="2"/>
    <tableColumn name="CYCLE STOCK VALUE" id="3"/>
    <tableColumn name="SAFETY STOCK UNITS" id="4"/>
    <tableColumn name="SAFETY STOCK VALUE" id="5"/>
    <tableColumn name="TOTAL RM INVENTORY VALUE" id="6"/>
  </tableColumns>
  <tableStyleInfo name="OM Raw Material Data-style 5" showColumnStripes="0" showFirstColumn="1" showLastColumn="1" showRowStripes="1"/>
</table>
</file>

<file path=xl/tables/table6.xml><?xml version="1.0" encoding="utf-8"?>
<table xmlns="http://schemas.openxmlformats.org/spreadsheetml/2006/main" ref="B88:G102" displayName="Table_6" name="Table_6" id="6">
  <tableColumns count="6">
    <tableColumn name="COMPONENT" id="1"/>
    <tableColumn name="CYCLE STOCK UNITS" id="2"/>
    <tableColumn name="CYCLE STOCK VALUE" id="3"/>
    <tableColumn name="SAFETY STOCK UNITS" id="4"/>
    <tableColumn name="SAFETY STOCK VALUE" id="5"/>
    <tableColumn name="TOTAL RM INVENTORY VALUE" id="6"/>
  </tableColumns>
  <tableStyleInfo name="OM Raw Material Data-style 6" showColumnStripes="0" showFirstColumn="1" showLastColumn="1" showRowStripes="1"/>
</table>
</file>

<file path=xl/tables/table7.xml><?xml version="1.0" encoding="utf-8"?>
<table xmlns="http://schemas.openxmlformats.org/spreadsheetml/2006/main" ref="B105:G119" displayName="Table_7" name="Table_7" id="7">
  <tableColumns count="6">
    <tableColumn name="COMPONENT" id="1"/>
    <tableColumn name="CYCLE STOCK UNITS" id="2"/>
    <tableColumn name="CYCLE STOCK VALUE" id="3"/>
    <tableColumn name="SAFETY STOCK UNITS" id="4"/>
    <tableColumn name="SAFETY STOCK VALUE" id="5"/>
    <tableColumn name="TOTAL RM INVENTORY VALUE" id="6"/>
  </tableColumns>
  <tableStyleInfo name="OM Raw Material Data-style 7" showColumnStripes="0" showFirstColumn="1" showLastColumn="1" showRowStripes="1"/>
</table>
</file>

<file path=xl/tables/table8.xml><?xml version="1.0" encoding="utf-8"?>
<table xmlns="http://schemas.openxmlformats.org/spreadsheetml/2006/main" headerRowCount="0" ref="D20:D32" displayName="Table_8" name="Table_8" id="8">
  <tableColumns count="1">
    <tableColumn name="Column1" id="1"/>
  </tableColumns>
  <tableStyleInfo name="OM Direct Materials &amp; Direct La-style" showColumnStripes="0" showFirstColumn="1" showLastColumn="1" showRowStripes="1"/>
</table>
</file>

<file path=xl/tables/table9.xml><?xml version="1.0" encoding="utf-8"?>
<table xmlns="http://schemas.openxmlformats.org/spreadsheetml/2006/main" headerRowCount="0" ref="E20:E32" displayName="Table_9" name="Table_9" id="9">
  <tableColumns count="1">
    <tableColumn name="Column1" id="1"/>
  </tableColumns>
  <tableStyleInfo name="OM Direct Materials &amp; Direct La-style 2" showColumnStripes="0" showFirstColumn="1" showLastColumn="1" showRowStripes="1"/>
</table>
</file>

<file path=xl/tables/table10.xml><?xml version="1.0" encoding="utf-8"?>
<table xmlns="http://schemas.openxmlformats.org/spreadsheetml/2006/main" headerRowCount="0" ref="F20:F33" displayName="Table_10" name="Table_10" id="10">
  <tableColumns count="1">
    <tableColumn name="Column1" id="1"/>
  </tableColumns>
  <tableStyleInfo name="OM Direct Materials &amp; Direct La-style 3" showColumnStripes="0" showFirstColumn="1" showLastColumn="1" showRowStripes="1"/>
</table>
</file>

<file path=xl/tables/table11.xml><?xml version="1.0" encoding="utf-8"?>
<table xmlns="http://schemas.openxmlformats.org/spreadsheetml/2006/main" headerRowCount="0" ref="D38:D50" displayName="Table_11" name="Table_11" id="11">
  <tableColumns count="1">
    <tableColumn name="Column1" id="1"/>
  </tableColumns>
  <tableStyleInfo name="OM Direct Materials &amp; Direct La-style 4" showColumnStripes="0" showFirstColumn="1" showLastColumn="1" showRowStripes="1"/>
</table>
</file>

<file path=xl/tables/table12.xml><?xml version="1.0" encoding="utf-8"?>
<table xmlns="http://schemas.openxmlformats.org/spreadsheetml/2006/main" headerRowCount="0" ref="E38:E50" displayName="Table_12" name="Table_12" id="12">
  <tableColumns count="1">
    <tableColumn name="Column1" id="1"/>
  </tableColumns>
  <tableStyleInfo name="OM Direct Materials &amp; Direct La-style 5" showColumnStripes="0" showFirstColumn="1" showLastColumn="1" showRowStripes="1"/>
</table>
</file>

<file path=xl/tables/table13.xml><?xml version="1.0" encoding="utf-8"?>
<table xmlns="http://schemas.openxmlformats.org/spreadsheetml/2006/main" headerRowCount="0" ref="F38:F50" displayName="Table_13" name="Table_13" id="13">
  <tableColumns count="1">
    <tableColumn name="Column1" id="1"/>
  </tableColumns>
  <tableStyleInfo name="OM Direct Materials &amp; Direct La-style 6" showColumnStripes="0" showFirstColumn="1" showLastColumn="1" showRowStripes="1"/>
</table>
</file>

<file path=xl/tables/table14.xml><?xml version="1.0" encoding="utf-8"?>
<table xmlns="http://schemas.openxmlformats.org/spreadsheetml/2006/main" headerRowCount="0" ref="D55:D67" displayName="Table_14" name="Table_14" id="14">
  <tableColumns count="1">
    <tableColumn name="Column1" id="1"/>
  </tableColumns>
  <tableStyleInfo name="OM Direct Materials &amp; Direct La-style 7" showColumnStripes="0" showFirstColumn="1" showLastColumn="1" showRowStripes="1"/>
</table>
</file>

<file path=xl/tables/table15.xml><?xml version="1.0" encoding="utf-8"?>
<table xmlns="http://schemas.openxmlformats.org/spreadsheetml/2006/main" headerRowCount="0" ref="E55:E67" displayName="Table_15" name="Table_15" id="15">
  <tableColumns count="1">
    <tableColumn name="Column1" id="1"/>
  </tableColumns>
  <tableStyleInfo name="OM Direct Materials &amp; Direct La-style 8" showColumnStripes="0" showFirstColumn="1" showLastColumn="1" showRowStripes="1"/>
</table>
</file>

<file path=xl/tables/table16.xml><?xml version="1.0" encoding="utf-8"?>
<table xmlns="http://schemas.openxmlformats.org/spreadsheetml/2006/main" headerRowCount="0" ref="F55:F67" displayName="Table_16" name="Table_16" id="16">
  <tableColumns count="1">
    <tableColumn name="Column1" id="1"/>
  </tableColumns>
  <tableStyleInfo name="OM Direct Materials &amp; Direct La-style 9" showColumnStripes="0" showFirstColumn="1" showLastColumn="1" showRowStripes="1"/>
</table>
</file>

<file path=xl/tables/table17.xml><?xml version="1.0" encoding="utf-8"?>
<table xmlns="http://schemas.openxmlformats.org/spreadsheetml/2006/main" headerRowCount="0" ref="D72:D84" displayName="Table_17" name="Table_17" id="17">
  <tableColumns count="1">
    <tableColumn name="Column1" id="1"/>
  </tableColumns>
  <tableStyleInfo name="OM Direct Materials &amp; Direct La-style 10" showColumnStripes="0" showFirstColumn="1" showLastColumn="1" showRowStripes="1"/>
</table>
</file>

<file path=xl/tables/table18.xml><?xml version="1.0" encoding="utf-8"?>
<table xmlns="http://schemas.openxmlformats.org/spreadsheetml/2006/main" headerRowCount="0" ref="E72:E84" displayName="Table_18" name="Table_18" id="18">
  <tableColumns count="1">
    <tableColumn name="Column1" id="1"/>
  </tableColumns>
  <tableStyleInfo name="OM Direct Materials &amp; Direct La-style 11" showColumnStripes="0" showFirstColumn="1" showLastColumn="1" showRowStripes="1"/>
</table>
</file>

<file path=xl/tables/table19.xml><?xml version="1.0" encoding="utf-8"?>
<table xmlns="http://schemas.openxmlformats.org/spreadsheetml/2006/main" headerRowCount="0" ref="F72:F84" displayName="Table_19" name="Table_19" id="19">
  <tableColumns count="1">
    <tableColumn name="Column1" id="1"/>
  </tableColumns>
  <tableStyleInfo name="OM Direct Materials &amp; Direct La-style 12" showColumnStripes="0" showFirstColumn="1" showLastColumn="1" showRowStripes="1"/>
</table>
</file>

<file path=xl/tables/table20.xml><?xml version="1.0" encoding="utf-8"?>
<table xmlns="http://schemas.openxmlformats.org/spreadsheetml/2006/main" headerRowCount="0" ref="D89:D101" displayName="Table_20" name="Table_20" id="20">
  <tableColumns count="1">
    <tableColumn name="Column1" id="1"/>
  </tableColumns>
  <tableStyleInfo name="OM Direct Materials &amp; Direct La-style 13" showColumnStripes="0" showFirstColumn="1" showLastColumn="1" showRowStripes="1"/>
</table>
</file>

<file path=xl/tables/table21.xml><?xml version="1.0" encoding="utf-8"?>
<table xmlns="http://schemas.openxmlformats.org/spreadsheetml/2006/main" headerRowCount="0" ref="E89:E101" displayName="Table_21" name="Table_21" id="21">
  <tableColumns count="1">
    <tableColumn name="Column1" id="1"/>
  </tableColumns>
  <tableStyleInfo name="OM Direct Materials &amp; Direct La-style 14" showColumnStripes="0" showFirstColumn="1" showLastColumn="1" showRowStripes="1"/>
</table>
</file>

<file path=xl/tables/table22.xml><?xml version="1.0" encoding="utf-8"?>
<table xmlns="http://schemas.openxmlformats.org/spreadsheetml/2006/main" headerRowCount="0" ref="F89:F102" displayName="Table_22" name="Table_22" id="22">
  <tableColumns count="1">
    <tableColumn name="Column1" id="1"/>
  </tableColumns>
  <tableStyleInfo name="OM Direct Materials &amp; Direct La-style 15" showColumnStripes="0" showFirstColumn="1" showLastColumn="1" showRowStripes="1"/>
</table>
</file>

<file path=xl/tables/table23.xml><?xml version="1.0" encoding="utf-8"?>
<table xmlns="http://schemas.openxmlformats.org/spreadsheetml/2006/main" headerRowCount="0" ref="B97:F116" displayName="Table_23" name="Table_23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OM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dt.com/shop/adtstore/google-nest-cam-outdoor.html" TargetMode="External"/><Relationship Id="rId10" Type="http://schemas.openxmlformats.org/officeDocument/2006/relationships/hyperlink" Target="https://www.clover.com/flex-pocket?srsltid=AfmBOoq8_2WFaP3mKWp9-5tkoq9RksRRQ0E-LFjCJcoWrDBJzs6diSAC" TargetMode="External"/><Relationship Id="rId13" Type="http://schemas.openxmlformats.org/officeDocument/2006/relationships/hyperlink" Target="https://www.uline.com/Product/Detail/H-2504BL/Utility-Carts/Uline-Utility-Cart-Standard-45-x-25-x-33-Black?pricode=WA9402&amp;gadtype=pla&amp;id=H-2504BL&amp;gad_source=1&amp;gad_campaignid=10688098208&amp;gbraid=0AAAAAD_uetNrhWaXKDIR4Rn86CoPw-IiJ&amp;gclid=CjwKCAiAoNbIBhB5EiwAZFbYGDRQMHXe-iAglKIHo17vLOzPhgJZo3VKmN67CgXgFDF4G16d421IohoClmIQAvD_BwE" TargetMode="External"/><Relationship Id="rId12" Type="http://schemas.openxmlformats.org/officeDocument/2006/relationships/hyperlink" Target="https://www.homedepot.com/p/Weller-70-Watt-120-Volt-Digital-Corded-Soldering-Station-with-Precision-Iron-WLSKD7012A/320356147" TargetMode="External"/><Relationship Id="rId1" Type="http://schemas.openxmlformats.org/officeDocument/2006/relationships/hyperlink" Target="https://www.idealmachinery.com/injection-molding-machinery?utm_source=chatgpt.com" TargetMode="External"/><Relationship Id="rId2" Type="http://schemas.openxmlformats.org/officeDocument/2006/relationships/hyperlink" Target="https://batesvilleproducts.com/resource/tooling-dollars-sense-comparing-casting-molds/?utm_source=chatgpt.com" TargetMode="External"/><Relationship Id="rId3" Type="http://schemas.openxmlformats.org/officeDocument/2006/relationships/hyperlink" Target="https://www.shelvingdirect.com/shelving-mplus-wire-shelves?options=cart" TargetMode="External"/><Relationship Id="rId4" Type="http://schemas.openxmlformats.org/officeDocument/2006/relationships/hyperlink" Target="https://www.sip.net/2022-new-forklift-price-how-much-you-can-expect-to-pay/?utm_source=chatgpt.com" TargetMode="External"/><Relationship Id="rId9" Type="http://schemas.openxmlformats.org/officeDocument/2006/relationships/hyperlink" Target="https://www.t-mobile.com/business/cell-phone/motorola-moto-g-2025?sku=610214685940" TargetMode="External"/><Relationship Id="rId15" Type="http://schemas.openxmlformats.org/officeDocument/2006/relationships/drawing" Target="../drawings/drawing16.xml"/><Relationship Id="rId14" Type="http://schemas.openxmlformats.org/officeDocument/2006/relationships/hyperlink" Target="https://www.uline.com/BL_3255/Uline-Mighty-Totes?keywords=storage" TargetMode="External"/><Relationship Id="rId5" Type="http://schemas.openxmlformats.org/officeDocument/2006/relationships/hyperlink" Target="https://texaslabelprinters.com/products/label-printers/afinia-l801-color-label-printer/" TargetMode="External"/><Relationship Id="rId6" Type="http://schemas.openxmlformats.org/officeDocument/2006/relationships/hyperlink" Target="https://www.konzwoodproducts.com/post/how-much-do-pallets-cost-in-2025-a-complete-guide-to-pallet-pricing?utm_source=chatgpt.com" TargetMode="External"/><Relationship Id="rId7" Type="http://schemas.openxmlformats.org/officeDocument/2006/relationships/hyperlink" Target="https://www.scalesplus.com/mettler-toledo-bc60-series-bca-222-60u-1101-110-shipping-bench-scale-150-lb-x-0-05-lb-ntep/" TargetMode="External"/><Relationship Id="rId8" Type="http://schemas.openxmlformats.org/officeDocument/2006/relationships/hyperlink" Target="https://www.conexdepot.com/product/20ft-standard-wind-and-water-tight-wwt-shipping-container/?attribute_location=dallas-tx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7.xml"/><Relationship Id="rId1" Type="http://schemas.openxmlformats.org/officeDocument/2006/relationships/comments" Target="../comments1.xml"/><Relationship Id="rId2" Type="http://schemas.openxmlformats.org/officeDocument/2006/relationships/hyperlink" Target="https://www.microsoft.com/en-us/microsoft-365/business/compare-all-microsoft-365-business-products-b?ef_id=_k_Cj0KCQiAiebIBhDmARIsAE8PGNJiaH0990Lw7mSTh_FV-2ksM27R6deqAMjaVbG-nfuIA0xpdu2Rp-caAj-8EALw_wcB_k_&amp;OCID=AIDcmm474qp8el_SEM__k_Cj0KCQiAiebIBhDmARIsAE8PGNJiaH0990Lw7mSTh_FV-2ksM27R6deqAMjaVbG-nfuIA0xpdu2Rp-caAj-8EALw_wcB_k_&amp;gad_source=1&amp;gad_campaignid=21836546611&amp;gbraid=0AAAAADcJh_tSeArrBv973IboD2BS4F7mc&amp;gclid=Cj0KCQiAiebIBhDmARIsAE8PGNJiaH0990Lw7mSTh_FV-2ksM27R6deqAMjaVbG-nfuIA0xpdu2Rp-caAj-8EALw_wcB" TargetMode="External"/><Relationship Id="rId3" Type="http://schemas.openxmlformats.org/officeDocument/2006/relationships/hyperlink" Target="https://www.clover.com/pricing?srsltid=AfmBOoq8_2WFaP3mKWp9-5tkoq9RksRRQ0E-LFjCJcoWrDBJzs6diSAC" TargetMode="External"/><Relationship Id="rId4" Type="http://schemas.openxmlformats.org/officeDocument/2006/relationships/hyperlink" Target="https://www.clover.com/compact?srsltid=AfmBOoq8_2WFaP3mKWp9-5tkoq9RksRRQ0E-LFjCJcoWrDBJzs6diSAC" TargetMode="External"/><Relationship Id="rId9" Type="http://schemas.openxmlformats.org/officeDocument/2006/relationships/hyperlink" Target="https://www.t-mobile.com/business/wireless-business-plans" TargetMode="External"/><Relationship Id="rId5" Type="http://schemas.openxmlformats.org/officeDocument/2006/relationships/hyperlink" Target="https://www.t-mobile.com/business/cell-phone/motorola-moto-g-2025?sku=610214685940" TargetMode="External"/><Relationship Id="rId6" Type="http://schemas.openxmlformats.org/officeDocument/2006/relationships/hyperlink" Target="https://www.adt.com/shop/adtstore/google-nest-cam-outdoor.html" TargetMode="External"/><Relationship Id="rId7" Type="http://schemas.openxmlformats.org/officeDocument/2006/relationships/hyperlink" Target="https://wordpress.com/pricing/" TargetMode="External"/><Relationship Id="rId8" Type="http://schemas.openxmlformats.org/officeDocument/2006/relationships/hyperlink" Target="https://www.t-mobile.com/business/solutions/business-internet-services/small-business-internet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ibaba.com/product-detail/Half-round-Aluminium-Telescopic-Pole-Extension_1601228386730.html?spm=a2700.galleryofferlist.p_offer.d_title.410b13a0eYDdQs&amp;priceId=3e37540f85d24bbc92af8cf9298e2ebb" TargetMode="External"/><Relationship Id="rId42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41" Type="http://schemas.openxmlformats.org/officeDocument/2006/relationships/hyperlink" Target="https://www.alibaba.com/product-detail/Warning-Replacement-Safety-Flag-Orange-18_1601568807165.html?spm=a2700.galleryofferlist.p_offer.d_title.5d4c13a01hYiMW&amp;priceId=a23ee4f063754ac98ae45a3867e9c3c4" TargetMode="External"/><Relationship Id="rId44" Type="http://schemas.openxmlformats.org/officeDocument/2006/relationships/hyperlink" Target="https://www.alibaba.com/product-detail/2464-Plastic-Polypropylene-PC-Mount-3_60781902140.html?spm=a2700.prosearch.normal_offer.d_title.2da567afYt4rsJ&amp;priceId=730fead6a6ee4bbf8f9a900ace5f812d" TargetMode="External"/><Relationship Id="rId43" Type="http://schemas.openxmlformats.org/officeDocument/2006/relationships/hyperlink" Target="https://www.alibaba.com/product-detail/1-Inch-2-Inch-4-Ohm_1601126945095.html?spm=a2700.prosearch.normal_offer.d_title.58d867afJJsFFh&amp;priceId=fb32a6d63c6c49adb6056242812d9301" TargetMode="External"/><Relationship Id="rId46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45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Relationship Id="rId106" Type="http://schemas.openxmlformats.org/officeDocument/2006/relationships/table" Target="../tables/table7.xml"/><Relationship Id="rId105" Type="http://schemas.openxmlformats.org/officeDocument/2006/relationships/table" Target="../tables/table6.xml"/><Relationship Id="rId104" Type="http://schemas.openxmlformats.org/officeDocument/2006/relationships/table" Target="../tables/table5.xml"/><Relationship Id="rId48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47" Type="http://schemas.openxmlformats.org/officeDocument/2006/relationships/hyperlink" Target="https://www.alibaba.com/product-detail/Small-Gauge-BV-BVR-Wires-2_1601580958765.html?spm=a2700.prosearch.normal_offer.d_title.606f67aftMolXe&amp;priceId=f181e1749f6345498352a143633eac08" TargetMode="External"/><Relationship Id="rId49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103" Type="http://schemas.openxmlformats.org/officeDocument/2006/relationships/table" Target="../tables/table4.xml"/><Relationship Id="rId102" Type="http://schemas.openxmlformats.org/officeDocument/2006/relationships/table" Target="../tables/table3.xml"/><Relationship Id="rId101" Type="http://schemas.openxmlformats.org/officeDocument/2006/relationships/table" Target="../tables/table2.xml"/><Relationship Id="rId100" Type="http://schemas.openxmlformats.org/officeDocument/2006/relationships/table" Target="../tables/table1.xml"/><Relationship Id="rId31" Type="http://schemas.openxmlformats.org/officeDocument/2006/relationships/hyperlink" Target="https://www.alibaba.com/product-detail/2464-Plastic-Polypropylene-PC-Mount-3_60781902140.html?spm=a2700.prosearch.normal_offer.d_title.2da567afYt4rsJ&amp;priceId=730fead6a6ee4bbf8f9a900ace5f812d" TargetMode="External"/><Relationship Id="rId30" Type="http://schemas.openxmlformats.org/officeDocument/2006/relationships/hyperlink" Target="https://www.alibaba.com/product-detail/1-Inch-2-Inch-4-Ohm_1601126945095.html?spm=a2700.prosearch.normal_offer.d_title.58d867afJJsFFh&amp;priceId=fb32a6d63c6c49adb6056242812d9301" TargetMode="External"/><Relationship Id="rId33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32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Relationship Id="rId35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34" Type="http://schemas.openxmlformats.org/officeDocument/2006/relationships/hyperlink" Target="https://www.alibaba.com/product-detail/Small-Gauge-BV-BVR-Wires-2_1601580958765.html?spm=a2700.prosearch.normal_offer.d_title.606f67aftMolXe&amp;priceId=f181e1749f6345498352a143633eac08" TargetMode="External"/><Relationship Id="rId37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36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39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38" Type="http://schemas.openxmlformats.org/officeDocument/2006/relationships/hyperlink" Target="https://plasticycle.com/we-sell-plastic/?" TargetMode="External"/><Relationship Id="rId20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22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21" Type="http://schemas.openxmlformats.org/officeDocument/2006/relationships/hyperlink" Target="https://grubercommunications.com/product/bulk-cable-flat-satin-8-conductor-pvc26awgstrandulgr/?keyword_session_id=vt~adwords%7Ckt~%7Cmt~%7Cta~&amp;_vsrefdom=wordstream&amp;gad_source=1&amp;gad_campaignid=22537913417&amp;gbraid=0AAAAAD9-q7SMQnZNunrb_fEO-nman2A2l&amp;gclid=Cj0KCQiAxJXJBhD_ARIsAH_JGjjRMg8kuPWx3Vpsw5PYJ1imKuirPx3XAui9WjtidIrK3vZLxH3qxd8aAs8rEALw_wcB" TargetMode="External"/><Relationship Id="rId24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23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26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25" Type="http://schemas.openxmlformats.org/officeDocument/2006/relationships/hyperlink" Target="https://plasticycle.com/we-sell-plastic/?" TargetMode="External"/><Relationship Id="rId28" Type="http://schemas.openxmlformats.org/officeDocument/2006/relationships/hyperlink" Target="https://www.alibaba.com/product-detail/Warning-Replacement-Safety-Flag-Orange-18_1601568807165.html?spm=a2700.galleryofferlist.p_offer.d_title.5d4c13a01hYiMW&amp;priceId=a23ee4f063754ac98ae45a3867e9c3c4" TargetMode="External"/><Relationship Id="rId27" Type="http://schemas.openxmlformats.org/officeDocument/2006/relationships/hyperlink" Target="https://www.alibaba.com/product-detail/Half-round-Aluminium-Telescopic-Pole-Extension_1601228386730.html?spm=a2700.galleryofferlist.p_offer.d_title.410b13a0eYDdQs&amp;priceId=3e37540f85d24bbc92af8cf9298e2ebb" TargetMode="External"/><Relationship Id="rId29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11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10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13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12" Type="http://schemas.openxmlformats.org/officeDocument/2006/relationships/hyperlink" Target="https://plasticycle.com/we-sell-plastic/?" TargetMode="External"/><Relationship Id="rId91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90" Type="http://schemas.openxmlformats.org/officeDocument/2006/relationships/hyperlink" Target="https://plasticycle.com/we-sell-plastic/?" TargetMode="External"/><Relationship Id="rId92" Type="http://schemas.openxmlformats.org/officeDocument/2006/relationships/drawing" Target="../drawings/drawing18.xml"/><Relationship Id="rId15" Type="http://schemas.openxmlformats.org/officeDocument/2006/relationships/hyperlink" Target="https://www.safetyflag.com/products/21-flags-solid/9-vinyl-flags" TargetMode="External"/><Relationship Id="rId14" Type="http://schemas.openxmlformats.org/officeDocument/2006/relationships/hyperlink" Target="https://www.brandedpromo.com/stainless-steel-telescopic-flagpole-3?utm_source=google-ads&amp;utm-medium=cpc&amp;utm_campaign=StdShopping-LowPerformer&amp;utm_campaignid=21353534604&amp;utm_agid=164011344135&amp;utm_term=&amp;creative=703250537495&amp;device=c&amp;placement=&amp;matchtype=&amp;ExtensionID=&amp;location=1018092&amp;Network=g&amp;gclid=Cj0KCQiAxJXJBhD_ARIsAH_JGjgGvgYmaIxKowI17gF0B3ksQ8Y7ZZSXNzqVLkSBsRaTs_moLQzrRWkaAsRkEALw_wcB&amp;MerchantId=5053468688&amp;product_channel=online&amp;pid=552986913&amp;gad_source=1&amp;gad_campaignid=21353534604&amp;gbraid=0AAAAApqlsE6D-yPhZlAjQgu1LzqdFFmH8" TargetMode="External"/><Relationship Id="rId17" Type="http://schemas.openxmlformats.org/officeDocument/2006/relationships/hyperlink" Target="https://www.elexp.com/products/26sp08-wrspeaker-8-ohm-w-lead?variant=42757514100964&amp;currency=USD&amp;utm_source=google&amp;utm_medium=organic&amp;utm_campaign=Google%20Shopping&amp;utm_content=2%20Inch%200.5%20Watt%20Round%20Speaker%20with%20Wire%20Leads%20-%208%20ohm&amp;srsltid=AfmBOooXBuW_wYCnd7D7EtSLXG7IHC6U12Gw_cBaWRBoDi_-_c1RKAAoynQ" TargetMode="External"/><Relationship Id="rId16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19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Relationship Id="rId18" Type="http://schemas.openxmlformats.org/officeDocument/2006/relationships/hyperlink" Target="https://www.jameco.com/z/BAT-HOLDER-R-Jameco-ReliaPro-4x-AA-Battery-Holder-with-6-Wired-4P-Connector_105858.html?CID=GOOG&amp;srsltid=AfmBOor21e6lGmDlRH5xPgHOPa7R_Hkex41jhkfazTPaNaLEX2-L2Y22KH4" TargetMode="External"/><Relationship Id="rId84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Relationship Id="rId83" Type="http://schemas.openxmlformats.org/officeDocument/2006/relationships/hyperlink" Target="https://www.alibaba.com/product-detail/2464-Plastic-Polypropylene-PC-Mount-3_60781902140.html?spm=a2700.prosearch.normal_offer.d_title.2da567afYt4rsJ&amp;priceId=730fead6a6ee4bbf8f9a900ace5f812d" TargetMode="External"/><Relationship Id="rId86" Type="http://schemas.openxmlformats.org/officeDocument/2006/relationships/hyperlink" Target="https://www.alibaba.com/product-detail/Small-Gauge-BV-BVR-Wires-2_1601580958765.html?spm=a2700.prosearch.normal_offer.d_title.606f67aftMolXe&amp;priceId=f181e1749f6345498352a143633eac08" TargetMode="External"/><Relationship Id="rId85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88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87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89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80" Type="http://schemas.openxmlformats.org/officeDocument/2006/relationships/hyperlink" Target="https://www.alibaba.com/product-detail/Warning-Replacement-Safety-Flag-Orange-18_1601568807165.html?spm=a2700.galleryofferlist.p_offer.d_title.5d4c13a01hYiMW&amp;priceId=a23ee4f063754ac98ae45a3867e9c3c4" TargetMode="External"/><Relationship Id="rId82" Type="http://schemas.openxmlformats.org/officeDocument/2006/relationships/hyperlink" Target="https://www.alibaba.com/product-detail/1-Inch-2-Inch-4-Ohm_1601126945095.html?spm=a2700.prosearch.normal_offer.d_title.58d867afJJsFFh&amp;priceId=fb32a6d63c6c49adb6056242812d9301" TargetMode="External"/><Relationship Id="rId81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1" Type="http://schemas.openxmlformats.org/officeDocument/2006/relationships/hyperlink" Target="https://www.brandedpromo.com/stainless-steel-telescopic-flagpole-3?utm_source=google-ads&amp;utm-medium=cpc&amp;utm_campaign=StdShopping-LowPerformer&amp;utm_campaignid=21353534604&amp;utm_agid=164011344135&amp;utm_term=&amp;creative=703250537495&amp;device=c&amp;placement=&amp;matchtype=&amp;ExtensionID=&amp;location=1018092&amp;Network=g&amp;gclid=Cj0KCQiAxJXJBhD_ARIsAH_JGjgGvgYmaIxKowI17gF0B3ksQ8Y7ZZSXNzqVLkSBsRaTs_moLQzrRWkaAsRkEALw_wcB&amp;MerchantId=5053468688&amp;product_channel=online&amp;pid=552986913&amp;gad_source=1&amp;gad_campaignid=21353534604&amp;gbraid=0AAAAApqlsE6D-yPhZlAjQgu1LzqdFFmH8" TargetMode="External"/><Relationship Id="rId2" Type="http://schemas.openxmlformats.org/officeDocument/2006/relationships/hyperlink" Target="https://www.alibaba.com/product-detail/Warning-Replacement-Safety-Flag-Orange-18_1601568807165.html?spm=a2700.galleryofferlist.p_offer.d_title.5d4c13a01hYiMW&amp;priceId=a23ee4f063754ac98ae45a3867e9c3c4" TargetMode="External"/><Relationship Id="rId3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4" Type="http://schemas.openxmlformats.org/officeDocument/2006/relationships/hyperlink" Target="https://www.alibaba.com/product-detail/1-Inch-2-Inch-4-Ohm_1601126945095.html?spm=a2700.prosearch.normal_offer.d_title.58d867afJJsFFh&amp;priceId=fb32a6d63c6c49adb6056242812d9301" TargetMode="External"/><Relationship Id="rId9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5" Type="http://schemas.openxmlformats.org/officeDocument/2006/relationships/hyperlink" Target="https://www.alibaba.com/product-detail/2464-Plastic-Polypropylene-PC-Mount-3_60781902140.html?spm=a2700.prosearch.normal_offer.d_title.2da567afYt4rsJ&amp;priceId=730fead6a6ee4bbf8f9a900ace5f812d" TargetMode="External"/><Relationship Id="rId6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Relationship Id="rId7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8" Type="http://schemas.openxmlformats.org/officeDocument/2006/relationships/hyperlink" Target="https://www.alibaba.com/product-detail/Small-Gauge-BV-BVR-Wires-2_1601580958765.html?spm=a2700.prosearch.normal_offer.d_title.606f67aftMolXe&amp;priceId=f181e1749f6345498352a143633eac08" TargetMode="External"/><Relationship Id="rId73" Type="http://schemas.openxmlformats.org/officeDocument/2006/relationships/hyperlink" Target="https://www.alibaba.com/product-detail/Small-Gauge-BV-BVR-Wires-2_1601580958765.html?spm=a2700.prosearch.normal_offer.d_title.606f67aftMolXe&amp;priceId=f181e1749f6345498352a143633eac08" TargetMode="External"/><Relationship Id="rId72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75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74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77" Type="http://schemas.openxmlformats.org/officeDocument/2006/relationships/hyperlink" Target="https://plasticycle.com/we-sell-plastic/?" TargetMode="External"/><Relationship Id="rId76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79" Type="http://schemas.openxmlformats.org/officeDocument/2006/relationships/hyperlink" Target="https://www.alibaba.com/product-detail/Half-round-Aluminium-Telescopic-Pole-Extension_1601228386730.html?spm=a2700.galleryofferlist.p_offer.d_title.410b13a0eYDdQs&amp;priceId=3e37540f85d24bbc92af8cf9298e2ebb" TargetMode="External"/><Relationship Id="rId78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71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Relationship Id="rId70" Type="http://schemas.openxmlformats.org/officeDocument/2006/relationships/hyperlink" Target="https://www.alibaba.com/product-detail/2464-Plastic-Polypropylene-PC-Mount-3_60781902140.html?spm=a2700.prosearch.normal_offer.d_title.2da567afYt4rsJ&amp;priceId=730fead6a6ee4bbf8f9a900ace5f812d" TargetMode="External"/><Relationship Id="rId62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61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64" Type="http://schemas.openxmlformats.org/officeDocument/2006/relationships/hyperlink" Target="https://plasticycle.com/we-sell-plastic/?" TargetMode="External"/><Relationship Id="rId63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66" Type="http://schemas.openxmlformats.org/officeDocument/2006/relationships/hyperlink" Target="https://www.alibaba.com/product-detail/Half-round-Aluminium-Telescopic-Pole-Extension_1601228386730.html?spm=a2700.galleryofferlist.p_offer.d_title.410b13a0eYDdQs&amp;priceId=3e37540f85d24bbc92af8cf9298e2ebb" TargetMode="External"/><Relationship Id="rId65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68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67" Type="http://schemas.openxmlformats.org/officeDocument/2006/relationships/hyperlink" Target="https://www.alibaba.com/product-detail/Warning-Replacement-Safety-Flag-Orange-18_1601568807165.html?spm=a2700.galleryofferlist.p_offer.d_title.5d4c13a01hYiMW&amp;priceId=a23ee4f063754ac98ae45a3867e9c3c4" TargetMode="External"/><Relationship Id="rId60" Type="http://schemas.openxmlformats.org/officeDocument/2006/relationships/hyperlink" Target="https://www.alibaba.com/product-detail/Small-Gauge-BV-BVR-Wires-2_1601580958765.html?spm=a2700.prosearch.normal_offer.d_title.606f67aftMolXe&amp;priceId=f181e1749f6345498352a143633eac08" TargetMode="External"/><Relationship Id="rId69" Type="http://schemas.openxmlformats.org/officeDocument/2006/relationships/hyperlink" Target="https://www.alibaba.com/product-detail/1-Inch-2-Inch-4-Ohm_1601126945095.html?spm=a2700.prosearch.normal_offer.d_title.58d867afJJsFFh&amp;priceId=fb32a6d63c6c49adb6056242812d9301" TargetMode="External"/><Relationship Id="rId51" Type="http://schemas.openxmlformats.org/officeDocument/2006/relationships/hyperlink" Target="https://plasticycle.com/we-sell-plastic/?" TargetMode="External"/><Relationship Id="rId50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53" Type="http://schemas.openxmlformats.org/officeDocument/2006/relationships/hyperlink" Target="https://www.alibaba.com/product-detail/Half-round-Aluminium-Telescopic-Pole-Extension_1601228386730.html?spm=a2700.galleryofferlist.p_offer.d_title.410b13a0eYDdQs&amp;priceId=3e37540f85d24bbc92af8cf9298e2ebb" TargetMode="External"/><Relationship Id="rId52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55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54" Type="http://schemas.openxmlformats.org/officeDocument/2006/relationships/hyperlink" Target="https://www.alibaba.com/product-detail/Warning-Replacement-Safety-Flag-Orange-18_1601568807165.html?spm=a2700.galleryofferlist.p_offer.d_title.5d4c13a01hYiMW&amp;priceId=a23ee4f063754ac98ae45a3867e9c3c4" TargetMode="External"/><Relationship Id="rId57" Type="http://schemas.openxmlformats.org/officeDocument/2006/relationships/hyperlink" Target="https://www.alibaba.com/product-detail/2464-Plastic-Polypropylene-PC-Mount-3_60781902140.html?spm=a2700.prosearch.normal_offer.d_title.2da567afYt4rsJ&amp;priceId=730fead6a6ee4bbf8f9a900ace5f812d" TargetMode="External"/><Relationship Id="rId56" Type="http://schemas.openxmlformats.org/officeDocument/2006/relationships/hyperlink" Target="https://www.alibaba.com/product-detail/1-Inch-2-Inch-4-Ohm_1601126945095.html?spm=a2700.prosearch.normal_offer.d_title.58d867afJJsFFh&amp;priceId=fb32a6d63c6c49adb6056242812d9301" TargetMode="External"/><Relationship Id="rId59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58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/Relationships>
</file>

<file path=xl/worksheets/_rels/sheet19.xml.rels><?xml version="1.0" encoding="UTF-8" standalone="yes"?><Relationships xmlns="http://schemas.openxmlformats.org/package/2006/relationships"><Relationship Id="rId31" Type="http://schemas.openxmlformats.org/officeDocument/2006/relationships/table" Target="../tables/table22.xml"/><Relationship Id="rId30" Type="http://schemas.openxmlformats.org/officeDocument/2006/relationships/table" Target="../tables/table21.xml"/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24" Type="http://schemas.openxmlformats.org/officeDocument/2006/relationships/table" Target="../tables/table15.xml"/><Relationship Id="rId23" Type="http://schemas.openxmlformats.org/officeDocument/2006/relationships/table" Target="../tables/table14.xml"/><Relationship Id="rId26" Type="http://schemas.openxmlformats.org/officeDocument/2006/relationships/table" Target="../tables/table17.xml"/><Relationship Id="rId25" Type="http://schemas.openxmlformats.org/officeDocument/2006/relationships/table" Target="../tables/table16.xml"/><Relationship Id="rId28" Type="http://schemas.openxmlformats.org/officeDocument/2006/relationships/table" Target="../tables/table19.xml"/><Relationship Id="rId27" Type="http://schemas.openxmlformats.org/officeDocument/2006/relationships/table" Target="../tables/table18.xml"/><Relationship Id="rId29" Type="http://schemas.openxmlformats.org/officeDocument/2006/relationships/table" Target="../tables/table20.xml"/><Relationship Id="rId17" Type="http://schemas.openxmlformats.org/officeDocument/2006/relationships/table" Target="../tables/table8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ouser.com/ProductDetail/Diodes-Incorporated/AHE300F-PA4-B?qs=sGAEpiMZZMu5vlrqIFXt5W70N4F8p%252BYGLNnwDoiTzqxHaA%2FAFhhIcA%3D%3D" TargetMode="External"/><Relationship Id="rId10" Type="http://schemas.openxmlformats.org/officeDocument/2006/relationships/hyperlink" Target="https://www.alibaba.com/product-detail/0-8mm-1mm-Stainless-steel-pan_1600390265554.html?spm=a2700.prosearch.normal_offer.d_title.374467afG1h0Aw&amp;priceId=8afe2f5120b6414b8cd2061f7efaf507" TargetMode="External"/><Relationship Id="rId13" Type="http://schemas.openxmlformats.org/officeDocument/2006/relationships/hyperlink" Target="https://www.alibaba.com/product-detail/Custom-Manufacturer-of-Silicone-Molds-Moulding_1601098066096.html?spm=a2700.7724857.0.0.93642b1eAQOgdE" TargetMode="External"/><Relationship Id="rId12" Type="http://schemas.openxmlformats.org/officeDocument/2006/relationships/hyperlink" Target="https://plasticycle.com/we-sell-plastic/?" TargetMode="External"/><Relationship Id="rId14" Type="http://schemas.openxmlformats.org/officeDocument/2006/relationships/drawing" Target="../drawings/drawing20.xml"/><Relationship Id="rId16" Type="http://schemas.openxmlformats.org/officeDocument/2006/relationships/table" Target="../tables/table23.xml"/><Relationship Id="rId1" Type="http://schemas.openxmlformats.org/officeDocument/2006/relationships/hyperlink" Target="https://www.brandedpromo.com/stainless-steel-telescopic-flagpole-3?utm_source=google-ads&amp;utm-medium=cpc&amp;utm_campaign=StdShopping-LowPerformer&amp;utm_campaignid=21353534604&amp;utm_agid=164011344135&amp;utm_term=&amp;creative=703250537495&amp;device=c&amp;placement=&amp;matchtype=&amp;ExtensionID=&amp;location=1018092&amp;Network=g&amp;gclid=Cj0KCQiAxJXJBhD_ARIsAH_JGjgGvgYmaIxKowI17gF0B3ksQ8Y7ZZSXNzqVLkSBsRaTs_moLQzrRWkaAsRkEALw_wcB&amp;MerchantId=5053468688&amp;product_channel=online&amp;pid=552986913&amp;gad_source=1&amp;gad_campaignid=21353534604&amp;gbraid=0AAAAApqlsE6D-yPhZlAjQgu1LzqdFFmH8" TargetMode="External"/><Relationship Id="rId2" Type="http://schemas.openxmlformats.org/officeDocument/2006/relationships/hyperlink" Target="https://www.alibaba.com/product-detail/Warning-Replacement-Safety-Flag-Orange-18_1601568807165.html?spm=a2700.galleryofferlist.p_offer.d_title.5d4c13a01hYiMW&amp;priceId=a23ee4f063754ac98ae45a3867e9c3c4" TargetMode="External"/><Relationship Id="rId3" Type="http://schemas.openxmlformats.org/officeDocument/2006/relationships/hyperlink" Target="https://www.alibaba.com/product-detail/Universal-Bicycle-Bike-Motorcycle-Handlebar-Mount_1600867514875.html?spm=a2700.prosearch.normal_offer.d_title.528a67afLd54cq&amp;selectedCarrierCode=SEMI_MANAGED_STANDARD%40%40STANDARD&amp;priceId=3d2ee11a375d473a94c2aeaff28262ed" TargetMode="External"/><Relationship Id="rId4" Type="http://schemas.openxmlformats.org/officeDocument/2006/relationships/hyperlink" Target="https://www.alibaba.com/product-detail/1-Inch-2-Inch-4-Ohm_1601126945095.html?spm=a2700.prosearch.normal_offer.d_title.58d867afJJsFFh&amp;priceId=fb32a6d63c6c49adb6056242812d9301" TargetMode="External"/><Relationship Id="rId9" Type="http://schemas.openxmlformats.org/officeDocument/2006/relationships/hyperlink" Target="https://www.alibaba.com/product-detail/Aihongyang-Free-Samples-33-33mm-5w_1600854704345.html?spm=a2700.prosearch.normal_offer.d_title.280d67af5J5Gkb&amp;priceId=2088e821ee1c462fbfc22d47fe09a915" TargetMode="External"/><Relationship Id="rId5" Type="http://schemas.openxmlformats.org/officeDocument/2006/relationships/hyperlink" Target="https://www.alibaba.com/product-detail/2464-Plastic-Polypropylene-PC-Mount-3_60781902140.html?spm=a2700.prosearch.normal_offer.d_title.2da567afYt4rsJ&amp;priceId=730fead6a6ee4bbf8f9a900ace5f812d" TargetMode="External"/><Relationship Id="rId6" Type="http://schemas.openxmlformats.org/officeDocument/2006/relationships/hyperlink" Target="https://www.alibaba.com/product-detail/Spoke-Magnet-for-Mountain-Bikes-Odometer_1601099246368.html?spm=a2700.prosearch.normal_offer.d_title.3a1767afv9WgIu&amp;priceId=274292f265824d82b98568cb5d44cc1c" TargetMode="External"/><Relationship Id="rId7" Type="http://schemas.openxmlformats.org/officeDocument/2006/relationships/hyperlink" Target="https://www.alibaba.com/product-detail/Prototype-PCB-PCBA-Manufacturing-Services-Custom_1601371090554.html?spm=a2700.prosearch.normal_offer.d_title.62ca67af6cRmnj&amp;priceId=dd9cce3572934eafa16a2136f6e6a998" TargetMode="External"/><Relationship Id="rId8" Type="http://schemas.openxmlformats.org/officeDocument/2006/relationships/hyperlink" Target="https://www.alibaba.com/product-detail/Small-Gauge-BV-BVR-Wires-2_1601580958765.html?spm=a2700.prosearch.normal_offer.d_title.606f67aftMolXe&amp;priceId=f181e1749f6345498352a143633eac08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y-ibisworld-com.ezproxy.bu.edu/us/en/industry/44122b/geographic-breakdown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3" width="23.75"/>
    <col customWidth="1" min="5" max="6" width="25.75"/>
    <col customWidth="1" min="8" max="9" width="22.5"/>
  </cols>
  <sheetData>
    <row r="15">
      <c r="B15" s="1" t="s">
        <v>0</v>
      </c>
      <c r="C15" s="2"/>
      <c r="D15" s="2"/>
      <c r="E15" s="2"/>
      <c r="F15" s="2"/>
      <c r="G15" s="2"/>
      <c r="H15" s="2"/>
      <c r="I15" s="3"/>
    </row>
    <row r="17">
      <c r="B17" s="4" t="s">
        <v>1</v>
      </c>
      <c r="C17" s="3"/>
      <c r="E17" s="5" t="s">
        <v>2</v>
      </c>
      <c r="F17" s="3"/>
      <c r="H17" s="6" t="s">
        <v>3</v>
      </c>
      <c r="I17" s="3"/>
    </row>
    <row r="18">
      <c r="B18" s="7" t="s">
        <v>4</v>
      </c>
      <c r="E18" s="8" t="s">
        <v>5</v>
      </c>
      <c r="H18" s="8" t="s">
        <v>6</v>
      </c>
    </row>
    <row r="19">
      <c r="B19" s="8" t="s">
        <v>7</v>
      </c>
      <c r="E19" s="8" t="s">
        <v>8</v>
      </c>
      <c r="H19" s="8" t="s">
        <v>9</v>
      </c>
    </row>
    <row r="20">
      <c r="B20" s="8" t="s">
        <v>10</v>
      </c>
      <c r="E20" s="8" t="s">
        <v>11</v>
      </c>
      <c r="H20" s="7" t="s">
        <v>12</v>
      </c>
    </row>
    <row r="21">
      <c r="B21" s="8" t="s">
        <v>13</v>
      </c>
      <c r="E21" s="8" t="s">
        <v>14</v>
      </c>
      <c r="H21" s="8" t="s">
        <v>15</v>
      </c>
    </row>
    <row r="22">
      <c r="B22" s="8" t="s">
        <v>16</v>
      </c>
      <c r="E22" s="8" t="s">
        <v>17</v>
      </c>
      <c r="H22" s="8" t="s">
        <v>18</v>
      </c>
    </row>
    <row r="23">
      <c r="B23" s="8" t="s">
        <v>19</v>
      </c>
      <c r="E23" s="8" t="s">
        <v>20</v>
      </c>
      <c r="H23" s="8" t="s">
        <v>21</v>
      </c>
    </row>
    <row r="24">
      <c r="H24" s="8" t="s">
        <v>22</v>
      </c>
    </row>
    <row r="25">
      <c r="H25" s="7" t="s">
        <v>23</v>
      </c>
    </row>
    <row r="26">
      <c r="H26" s="8" t="s">
        <v>24</v>
      </c>
    </row>
    <row r="27">
      <c r="H27" s="7" t="s">
        <v>25</v>
      </c>
    </row>
    <row r="28">
      <c r="H28" s="8" t="s">
        <v>23</v>
      </c>
    </row>
    <row r="29">
      <c r="H29" s="8" t="s">
        <v>26</v>
      </c>
    </row>
    <row r="30">
      <c r="H30" s="8" t="s">
        <v>27</v>
      </c>
    </row>
    <row r="31">
      <c r="H31" s="8" t="s">
        <v>28</v>
      </c>
    </row>
  </sheetData>
  <mergeCells count="30">
    <mergeCell ref="E18:F18"/>
    <mergeCell ref="E19:F19"/>
    <mergeCell ref="E20:F20"/>
    <mergeCell ref="E21:F21"/>
    <mergeCell ref="E22:F22"/>
    <mergeCell ref="E23:F23"/>
    <mergeCell ref="B19:C19"/>
    <mergeCell ref="B20:C20"/>
    <mergeCell ref="B21:C21"/>
    <mergeCell ref="B22:C22"/>
    <mergeCell ref="B23:C23"/>
    <mergeCell ref="B15:I15"/>
    <mergeCell ref="B17:C17"/>
    <mergeCell ref="E17:F17"/>
    <mergeCell ref="H17:I17"/>
    <mergeCell ref="B18:C18"/>
    <mergeCell ref="H18:I18"/>
    <mergeCell ref="H19:I19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26:I26"/>
  </mergeCells>
  <hyperlinks>
    <hyperlink display="FE ASSUMPTIONS" location="'FE Assumptions'!A1" ref="B18"/>
    <hyperlink display="MK ASSUMPTIONS" location="'MK Assumptions'!A1" ref="E18"/>
    <hyperlink display="OM ASSUMPTIONS" location="'OM Assumptions'!A1" ref="H18"/>
    <hyperlink display="FE STARTING DATA SET" location="'Starting Data Set'!A1" ref="B19"/>
    <hyperlink display="MK ACV DISTRIBUTION " location="'MK ACV Distribution'!A1" ref="E19"/>
    <hyperlink display="OM COST ANALYSIS" location="'OM Cost Analysis'!A1" ref="H19"/>
    <hyperlink display="FE INCOME STATEMENT" location="'FE Income Statement'!A1" ref="B20"/>
    <hyperlink display="MK DEMAND CURVE &amp; PURCHASE INTENT" location="'MK Demand Curve &amp; Purchase Inte'!A1" ref="E20"/>
    <hyperlink display="OM CAPITAL EXPENDITURES" location="'OM Capital Expenditures'!A1" ref="H20"/>
    <hyperlink display="FE BALANCE SHEET" location="'FE Balance Sheet'!A1" ref="B21"/>
    <hyperlink display="MK WEIGHTED PRICE CALCULATIONS " location="'MK Weighted Price Calculations'!A1" ref="E21"/>
    <hyperlink display="OM INFORMATION SYSTEMS EXPENSES" location="'OM IS Expenses'!A1" ref="H21"/>
    <hyperlink display="FE COMPARABLE COMPANIES ANALYSIS " location="'FE Comparable Companies Analysi'!A1" ref="B22"/>
    <hyperlink display="MK SALES PROJECTIONS" location="'MK Sales Projections'!A1" ref="E22"/>
    <hyperlink display="OM DIRECT MATERIALS &amp; DIRECT LABOR " location="'OM Direct Materials &amp; Direct La'!A1" ref="H22"/>
    <hyperlink display="FE CASH FLOW" location="'FE Cash Flow'!A1" ref="B23"/>
    <hyperlink display="MK IMC SCHEDULE " location="'MK IMC Schedule'!A1" ref="E23"/>
    <hyperlink display="OM INVENTORY " location="'OM Inventory'!A1" ref="H23"/>
    <hyperlink display="OM DEMAND AND LEAD TIME" location="'OM Demand and Lead Time'!A1" ref="H24"/>
    <hyperlink display="OM G&amp;A EXPENSES" location="'OM G&amp;A Expenses'!A1" ref="H25"/>
    <hyperlink display="OM PROCESS FLOW" location="'OM Process Flow'!A1" ref="H26"/>
    <hyperlink display="OM CAPACITY ANALYSIS " location="'OM Capacity Analysis'!A1" ref="H27"/>
    <hyperlink display="OM G&amp;A EXPENSES" location="'OM G&amp;A Expenses'!A1" ref="H28"/>
    <hyperlink display="OM MOH EXPENSES" location="'OM MOH Expenses'!A1" ref="H29"/>
    <hyperlink display="OM LOCATION ANALYSIS" location="'OM Location Analysis '!A1" ref="H30"/>
    <hyperlink display="OM STARTUP COSTS" location="'OM Startup Costs'!A1" ref="H31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9.63"/>
    <col customWidth="1" min="2" max="2" width="14.88"/>
    <col customWidth="1" min="3" max="7" width="23.0"/>
    <col customWidth="1" min="8" max="8" width="2.38"/>
    <col customWidth="1" min="9" max="9" width="10.13"/>
    <col customWidth="1" min="10" max="10" width="8.38"/>
    <col customWidth="1" min="11" max="11" width="14.75"/>
    <col customWidth="1" min="12" max="26" width="8.38"/>
  </cols>
  <sheetData>
    <row r="1" ht="23.25" customHeight="1">
      <c r="A1" s="9" t="s">
        <v>29</v>
      </c>
      <c r="B1" s="9"/>
      <c r="C1" s="9"/>
      <c r="D1" s="9"/>
      <c r="E1" s="9"/>
      <c r="F1" s="9"/>
      <c r="G1" s="9"/>
      <c r="H1" s="10"/>
      <c r="I1" s="10"/>
      <c r="J1" s="11"/>
      <c r="K1" s="10"/>
      <c r="L1" s="12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30</v>
      </c>
      <c r="B2" s="13" t="s">
        <v>31</v>
      </c>
      <c r="C2" s="13" t="s">
        <v>32</v>
      </c>
      <c r="D2" s="13" t="s">
        <v>33</v>
      </c>
      <c r="E2" s="13" t="s">
        <v>34</v>
      </c>
      <c r="F2" s="13" t="s">
        <v>35</v>
      </c>
      <c r="G2" s="13" t="s">
        <v>36</v>
      </c>
      <c r="H2" s="10"/>
      <c r="I2" s="14" t="s">
        <v>37</v>
      </c>
      <c r="J2" s="11"/>
      <c r="K2" s="10"/>
      <c r="L2" s="12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5" t="s">
        <v>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6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39</v>
      </c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17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40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17" t="s">
        <v>41</v>
      </c>
      <c r="B8" s="18">
        <f>'OM Capital Expenditures'!D49+'OM IS Expenses'!C33+'OM Startup Costs'!C18</f>
        <v>263922.25</v>
      </c>
      <c r="C8" s="10"/>
      <c r="D8" s="10"/>
      <c r="E8" s="10"/>
      <c r="F8" s="10"/>
      <c r="G8" s="10"/>
      <c r="H8" s="10"/>
      <c r="I8" s="10" t="s">
        <v>42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7"/>
      <c r="B9" s="1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 t="s">
        <v>43</v>
      </c>
      <c r="B10" s="1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17" t="s">
        <v>44</v>
      </c>
      <c r="B11" s="20">
        <v>0.0</v>
      </c>
      <c r="C11" s="10"/>
      <c r="D11" s="10"/>
      <c r="E11" s="10"/>
      <c r="F11" s="10"/>
      <c r="G11" s="10"/>
      <c r="H11" s="10"/>
      <c r="I11" s="10" t="s">
        <v>45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0" customHeight="1">
      <c r="A12" s="21" t="s">
        <v>46</v>
      </c>
      <c r="B12" s="18">
        <f>'OM Startup Costs'!C29+'OM Startup Costs'!C30</f>
        <v>30321.77754</v>
      </c>
      <c r="C12" s="10"/>
      <c r="D12" s="10"/>
      <c r="E12" s="10"/>
      <c r="F12" s="10"/>
      <c r="G12" s="10"/>
      <c r="H12" s="10"/>
      <c r="I12" s="10" t="s">
        <v>42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21" t="s">
        <v>47</v>
      </c>
      <c r="B13" s="18">
        <f>'OM Startup Costs'!C31</f>
        <v>2341.556234</v>
      </c>
      <c r="C13" s="10"/>
      <c r="D13" s="10"/>
      <c r="E13" s="10"/>
      <c r="F13" s="10"/>
      <c r="G13" s="10"/>
      <c r="H13" s="10"/>
      <c r="I13" s="10" t="s">
        <v>42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17"/>
      <c r="B14" s="19"/>
      <c r="C14" s="2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48</v>
      </c>
      <c r="B15" s="1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0" customHeight="1">
      <c r="A16" s="17" t="s">
        <v>49</v>
      </c>
      <c r="B16" s="18">
        <f>'OM Startup Costs'!C12</f>
        <v>55000</v>
      </c>
      <c r="C16" s="10"/>
      <c r="D16" s="10"/>
      <c r="E16" s="10"/>
      <c r="F16" s="10"/>
      <c r="G16" s="10"/>
      <c r="H16" s="10"/>
      <c r="I16" s="10" t="s">
        <v>42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17" t="s">
        <v>50</v>
      </c>
      <c r="B17" s="18">
        <f>'MK IMC Schedule'!O7</f>
        <v>40242.05</v>
      </c>
      <c r="C17" s="10"/>
      <c r="D17" s="10"/>
      <c r="E17" s="10"/>
      <c r="F17" s="10"/>
      <c r="G17" s="10"/>
      <c r="H17" s="10"/>
      <c r="I17" s="10" t="s">
        <v>51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17" t="s">
        <v>52</v>
      </c>
      <c r="B18" s="23">
        <f>'OM Startup Costs'!C25</f>
        <v>42362.28823</v>
      </c>
      <c r="C18" s="10"/>
      <c r="D18" s="10"/>
      <c r="E18" s="10"/>
      <c r="F18" s="10"/>
      <c r="G18" s="10"/>
      <c r="H18" s="10"/>
      <c r="I18" s="10" t="s">
        <v>53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24" t="s">
        <v>54</v>
      </c>
      <c r="B19" s="25">
        <f>SUM(B16:B18)</f>
        <v>137604.3382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1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 t="s">
        <v>55</v>
      </c>
      <c r="B21" s="9"/>
      <c r="C21" s="9"/>
      <c r="D21" s="9"/>
      <c r="E21" s="9"/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0" customHeight="1">
      <c r="A22" s="26"/>
      <c r="B22" s="26"/>
      <c r="C22" s="26"/>
      <c r="D22" s="26"/>
      <c r="E22" s="26"/>
      <c r="F22" s="26"/>
      <c r="G22" s="26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 t="s">
        <v>56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0" customHeight="1">
      <c r="A24" s="27" t="s">
        <v>57</v>
      </c>
      <c r="B24" s="27"/>
      <c r="C24" s="28">
        <f>'MK ACV Distribution'!C8</f>
        <v>40473.71764</v>
      </c>
      <c r="D24" s="28">
        <f>'MK ACV Distribution'!C15</f>
        <v>57320.77394</v>
      </c>
      <c r="E24" s="28">
        <f>'MK ACV Distribution'!C22</f>
        <v>57689.20013</v>
      </c>
      <c r="F24" s="28">
        <f>'MK ACV Distribution'!C29</f>
        <v>70876.63911</v>
      </c>
      <c r="G24" s="28">
        <f>'MK ACV Distribution'!C36</f>
        <v>86809.70874</v>
      </c>
      <c r="H24" s="10"/>
      <c r="I24" s="10" t="s">
        <v>51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0" customHeight="1">
      <c r="A25" s="27" t="s">
        <v>58</v>
      </c>
      <c r="B25" s="27"/>
      <c r="C25" s="29">
        <f>'MK ACV Distribution'!D8</f>
        <v>6745.619607</v>
      </c>
      <c r="D25" s="29">
        <f>'MK ACV Distribution'!D15</f>
        <v>23883.65581</v>
      </c>
      <c r="E25" s="29">
        <f>'MK ACV Distribution'!D22</f>
        <v>38459.46675</v>
      </c>
      <c r="F25" s="29">
        <f>'MK ACV Distribution'!D29</f>
        <v>47251.09274</v>
      </c>
      <c r="G25" s="29">
        <f>'MK ACV Distribution'!D36</f>
        <v>65107.28156</v>
      </c>
      <c r="H25" s="10"/>
      <c r="I25" s="10" t="s">
        <v>51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0" customHeight="1">
      <c r="A26" s="27" t="s">
        <v>59</v>
      </c>
      <c r="B26" s="27"/>
      <c r="C26" s="29"/>
      <c r="D26" s="29"/>
      <c r="E26" s="29">
        <f>'MK ACV Distribution'!E22</f>
        <v>9614.866688</v>
      </c>
      <c r="F26" s="29">
        <f>'MK ACV Distribution'!E29</f>
        <v>23625.54637</v>
      </c>
      <c r="G26" s="29">
        <f>'MK ACV Distribution'!E36</f>
        <v>57873.13916</v>
      </c>
      <c r="H26" s="10"/>
      <c r="I26" s="10" t="s">
        <v>51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0" customHeight="1">
      <c r="A27" s="27" t="s">
        <v>60</v>
      </c>
      <c r="B27" s="27"/>
      <c r="C27" s="30"/>
      <c r="D27" s="30"/>
      <c r="E27" s="30"/>
      <c r="F27" s="30">
        <f>'MK ACV Distribution'!F29</f>
        <v>17719.15978</v>
      </c>
      <c r="G27" s="30">
        <f>'MK ACV Distribution'!F36</f>
        <v>28936.56958</v>
      </c>
      <c r="H27" s="10"/>
      <c r="I27" s="10" t="s">
        <v>51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0" customHeight="1">
      <c r="A28" s="31" t="s">
        <v>61</v>
      </c>
      <c r="B28" s="31" t="s">
        <v>38</v>
      </c>
      <c r="C28" s="32">
        <f t="shared" ref="C28:G28" si="1">SUM(C24:C27)</f>
        <v>47219.33725</v>
      </c>
      <c r="D28" s="32">
        <f t="shared" si="1"/>
        <v>81204.42975</v>
      </c>
      <c r="E28" s="32">
        <f t="shared" si="1"/>
        <v>105763.5336</v>
      </c>
      <c r="F28" s="32">
        <f t="shared" si="1"/>
        <v>159472.438</v>
      </c>
      <c r="G28" s="32">
        <f t="shared" si="1"/>
        <v>238726.699</v>
      </c>
      <c r="H28" s="10" t="s">
        <v>38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0" customHeight="1">
      <c r="A29" s="31"/>
      <c r="B29" s="31"/>
      <c r="C29" s="31"/>
      <c r="D29" s="31"/>
      <c r="E29" s="31"/>
      <c r="F29" s="31"/>
      <c r="G29" s="3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 t="s">
        <v>62</v>
      </c>
      <c r="B30" s="31"/>
      <c r="C30" s="31"/>
      <c r="D30" s="31"/>
      <c r="E30" s="31"/>
      <c r="F30" s="31"/>
      <c r="G30" s="31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27" t="s">
        <v>63</v>
      </c>
      <c r="B31" s="33"/>
      <c r="C31" s="34">
        <f>'MK Weighted Price Calculations'!D7</f>
        <v>31.5</v>
      </c>
      <c r="D31" s="34">
        <f>'MK Weighted Price Calculations'!D16</f>
        <v>31.5</v>
      </c>
      <c r="E31" s="34">
        <f>'MK Weighted Price Calculations'!D25</f>
        <v>31.5</v>
      </c>
      <c r="F31" s="34">
        <f>'MK Weighted Price Calculations'!D34</f>
        <v>31.5</v>
      </c>
      <c r="G31" s="34">
        <f>'MK Weighted Price Calculations'!D43</f>
        <v>31.5</v>
      </c>
      <c r="H31" s="10"/>
      <c r="I31" s="10" t="s">
        <v>51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0" customHeight="1">
      <c r="A32" s="27" t="s">
        <v>64</v>
      </c>
      <c r="B32" s="27"/>
      <c r="C32" s="35">
        <f>'MK Weighted Price Calculations'!D6</f>
        <v>35</v>
      </c>
      <c r="D32" s="35">
        <f>'MK Weighted Price Calculations'!D15</f>
        <v>35</v>
      </c>
      <c r="E32" s="35">
        <f>'MK Weighted Price Calculations'!D24</f>
        <v>35</v>
      </c>
      <c r="F32" s="35">
        <f>'MK Weighted Price Calculations'!D33</f>
        <v>35</v>
      </c>
      <c r="G32" s="35">
        <f>'MK Weighted Price Calculations'!D42</f>
        <v>35</v>
      </c>
      <c r="H32" s="10"/>
      <c r="I32" s="10" t="s">
        <v>51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0" customHeight="1">
      <c r="A33" s="27" t="s">
        <v>65</v>
      </c>
      <c r="B33" s="27"/>
      <c r="C33" s="35">
        <v>0.0</v>
      </c>
      <c r="D33" s="35">
        <v>0.0</v>
      </c>
      <c r="E33" s="35">
        <f>'MK Weighted Price Calculations'!D26</f>
        <v>28.35</v>
      </c>
      <c r="F33" s="35">
        <f>'MK Weighted Price Calculations'!D35</f>
        <v>28.35</v>
      </c>
      <c r="G33" s="35">
        <f>'MK Weighted Price Calculations'!D44</f>
        <v>28.35</v>
      </c>
      <c r="H33" s="10"/>
      <c r="I33" s="10" t="s">
        <v>51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0" customHeight="1">
      <c r="A34" s="27" t="s">
        <v>66</v>
      </c>
      <c r="B34" s="27"/>
      <c r="C34" s="36">
        <v>0.0</v>
      </c>
      <c r="D34" s="36">
        <v>0.0</v>
      </c>
      <c r="E34" s="36">
        <v>0.0</v>
      </c>
      <c r="F34" s="36">
        <f>'MK Weighted Price Calculations'!D36</f>
        <v>22.68</v>
      </c>
      <c r="G34" s="36">
        <f>'MK Weighted Price Calculations'!D45</f>
        <v>22.68</v>
      </c>
      <c r="H34" s="10"/>
      <c r="I34" s="10" t="s">
        <v>51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0" customHeight="1">
      <c r="A35" s="31" t="s">
        <v>67</v>
      </c>
      <c r="B35" s="27"/>
      <c r="C35" s="37">
        <f>'MK Weighted Price Calculations'!C10</f>
        <v>34.5</v>
      </c>
      <c r="D35" s="37">
        <f>'MK Weighted Price Calculations'!C19</f>
        <v>33.97058824</v>
      </c>
      <c r="E35" s="37">
        <f>'MK Weighted Price Calculations'!C28</f>
        <v>33.12272727</v>
      </c>
      <c r="F35" s="37">
        <f>'MK Weighted Price Calculations'!C37</f>
        <v>31.60888889</v>
      </c>
      <c r="G35" s="37">
        <f>'MK Weighted Price Calculations'!C46</f>
        <v>30.94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0" customHeight="1">
      <c r="A36" s="15"/>
      <c r="B36" s="10"/>
      <c r="C36" s="11"/>
      <c r="D36" s="11"/>
      <c r="E36" s="11"/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 t="s">
        <v>68</v>
      </c>
      <c r="B37" s="10"/>
      <c r="C37" s="11"/>
      <c r="D37" s="11"/>
      <c r="E37" s="11"/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0" customHeight="1">
      <c r="A38" s="33" t="s">
        <v>69</v>
      </c>
      <c r="B38" s="27"/>
      <c r="C38" s="38">
        <f>'OM Direct Materials &amp; Direct La'!D14+('OM Direct Materials &amp; Direct La'!F33+'OM Direct Materials &amp; Direct La'!F34)</f>
        <v>10.18793441</v>
      </c>
      <c r="D38" s="38">
        <f>'OM Direct Materials &amp; Direct La'!E14+'OM Direct Materials &amp; Direct La'!F51+'OM Direct Materials &amp; Direct La'!F52</f>
        <v>10.32409299</v>
      </c>
      <c r="E38" s="38">
        <f>'OM Direct Materials &amp; Direct La'!F14+'OM Direct Materials &amp; Direct La'!F68+'OM Direct Materials &amp; Direct La'!F69</f>
        <v>10.70881846</v>
      </c>
      <c r="F38" s="38">
        <f>'OM Direct Materials &amp; Direct La'!G14+'OM Direct Materials &amp; Direct La'!F85+'OM Direct Materials &amp; Direct La'!F86</f>
        <v>10.10493379</v>
      </c>
      <c r="G38" s="38">
        <f>'OM Direct Materials &amp; Direct La'!H14+'OM Direct Materials &amp; Direct La'!F102+'OM Direct Materials &amp; Direct La'!F103</f>
        <v>10.03557614</v>
      </c>
      <c r="H38" s="10"/>
      <c r="I38" s="10" t="s">
        <v>42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0" customHeight="1">
      <c r="A39" s="27" t="s">
        <v>70</v>
      </c>
      <c r="B39" s="27"/>
      <c r="C39" s="39">
        <f>'OM Location Analysis '!C64</f>
        <v>7254.913887</v>
      </c>
      <c r="D39" s="39">
        <f>'OM Location Analysis '!D64</f>
        <v>15413.41281</v>
      </c>
      <c r="E39" s="39">
        <f>'OM Location Analysis '!E64</f>
        <v>22117.31244</v>
      </c>
      <c r="F39" s="39">
        <f>'OM Location Analysis '!F64</f>
        <v>31571.43599</v>
      </c>
      <c r="G39" s="39">
        <f>'OM Location Analysis '!G64</f>
        <v>46900.59035</v>
      </c>
      <c r="H39" s="10"/>
      <c r="I39" s="10" t="s">
        <v>42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0" customHeight="1">
      <c r="A40" s="31" t="s">
        <v>71</v>
      </c>
      <c r="B40" s="27"/>
      <c r="C40" s="40">
        <f t="shared" ref="C40:G40" si="2">(C38*C28)+C39</f>
        <v>488322.4247</v>
      </c>
      <c r="D40" s="40">
        <f t="shared" si="2"/>
        <v>853775.4968</v>
      </c>
      <c r="E40" s="40">
        <f t="shared" si="2"/>
        <v>1154719.793</v>
      </c>
      <c r="F40" s="40">
        <f t="shared" si="2"/>
        <v>1643029.863</v>
      </c>
      <c r="G40" s="40">
        <f t="shared" si="2"/>
        <v>2442660.554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0" customHeight="1">
      <c r="A41" s="27" t="s">
        <v>72</v>
      </c>
      <c r="B41" s="27"/>
      <c r="C41" s="41">
        <f>'OM MOH Expenses'!C15</f>
        <v>192923.9051</v>
      </c>
      <c r="D41" s="41">
        <f>'OM MOH Expenses'!D15</f>
        <v>248628.1429</v>
      </c>
      <c r="E41" s="41">
        <f>'OM MOH Expenses'!E15</f>
        <v>290008.7383</v>
      </c>
      <c r="F41" s="41">
        <f>'OM MOH Expenses'!F15</f>
        <v>376145.8587</v>
      </c>
      <c r="G41" s="41">
        <f>'OM MOH Expenses'!G15</f>
        <v>501523.0888</v>
      </c>
      <c r="H41" s="10"/>
      <c r="I41" s="10" t="s">
        <v>42</v>
      </c>
      <c r="J41" s="10"/>
      <c r="K41" s="42" t="s">
        <v>73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0" customHeight="1">
      <c r="A42" s="31" t="s">
        <v>74</v>
      </c>
      <c r="B42" s="40"/>
      <c r="C42" s="37">
        <f t="shared" ref="C42:G42" si="3">C40+C41</f>
        <v>681246.3298</v>
      </c>
      <c r="D42" s="37">
        <f t="shared" si="3"/>
        <v>1102403.64</v>
      </c>
      <c r="E42" s="37">
        <f t="shared" si="3"/>
        <v>1444728.531</v>
      </c>
      <c r="F42" s="37">
        <f t="shared" si="3"/>
        <v>2019175.721</v>
      </c>
      <c r="G42" s="37">
        <f t="shared" si="3"/>
        <v>2944183.643</v>
      </c>
      <c r="H42" s="10"/>
      <c r="I42" s="10"/>
      <c r="J42" s="10"/>
      <c r="K42" s="43">
        <v>1.0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0" customHeight="1">
      <c r="A43" s="27" t="s">
        <v>75</v>
      </c>
      <c r="B43" s="27"/>
      <c r="C43" s="40">
        <f t="shared" ref="C43:G43" si="4">C42/C28</f>
        <v>14.42727428</v>
      </c>
      <c r="D43" s="40">
        <f t="shared" si="4"/>
        <v>13.5756589</v>
      </c>
      <c r="E43" s="40">
        <f t="shared" si="4"/>
        <v>13.65998736</v>
      </c>
      <c r="F43" s="40">
        <f t="shared" si="4"/>
        <v>12.66159687</v>
      </c>
      <c r="G43" s="40">
        <f t="shared" si="4"/>
        <v>12.33286287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0" customHeight="1">
      <c r="A44" s="27"/>
      <c r="B44" s="27"/>
      <c r="C44" s="27"/>
      <c r="D44" s="27"/>
      <c r="E44" s="27"/>
      <c r="F44" s="27"/>
      <c r="G44" s="27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 t="s">
        <v>76</v>
      </c>
      <c r="B45" s="27"/>
      <c r="C45" s="27"/>
      <c r="D45" s="27"/>
      <c r="E45" s="27"/>
      <c r="F45" s="27"/>
      <c r="G45" s="27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0" customHeight="1">
      <c r="A46" s="27" t="s">
        <v>77</v>
      </c>
      <c r="B46" s="27"/>
      <c r="C46" s="18"/>
      <c r="D46" s="18"/>
      <c r="E46" s="18"/>
      <c r="F46" s="18"/>
      <c r="G46" s="18"/>
      <c r="H46" s="10"/>
      <c r="I46" s="10" t="s">
        <v>42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0" customHeight="1">
      <c r="A47" s="27" t="s">
        <v>78</v>
      </c>
      <c r="B47" s="27"/>
      <c r="C47" s="39">
        <f>'OM G&amp;A Expenses'!F18</f>
        <v>628381.3427</v>
      </c>
      <c r="D47" s="39">
        <f>'OM G&amp;A Expenses'!F39</f>
        <v>668845.2449</v>
      </c>
      <c r="E47" s="39">
        <f>'OM G&amp;A Expenses'!F62</f>
        <v>849961.5203</v>
      </c>
      <c r="F47" s="39">
        <f>'OM G&amp;A Expenses'!F86</f>
        <v>1026543.684</v>
      </c>
      <c r="G47" s="39">
        <f>'OM G&amp;A Expenses'!F113</f>
        <v>1381304.528</v>
      </c>
      <c r="H47" s="10"/>
      <c r="I47" s="10" t="s">
        <v>42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0" customHeight="1">
      <c r="A48" s="27" t="s">
        <v>79</v>
      </c>
      <c r="B48" s="27"/>
      <c r="C48" s="39">
        <f>'MK IMC Schedule'!O31</f>
        <v>268280.3333</v>
      </c>
      <c r="D48" s="39">
        <f>'MK IMC Schedule'!O55</f>
        <v>344232.7619</v>
      </c>
      <c r="E48" s="39">
        <f>'MK IMC Schedule'!O79</f>
        <v>396844.4286</v>
      </c>
      <c r="F48" s="39">
        <f>'MK IMC Schedule'!O103</f>
        <v>503401.3333</v>
      </c>
      <c r="G48" s="39">
        <f>'MK IMC Schedule'!O127</f>
        <v>631633</v>
      </c>
      <c r="H48" s="10"/>
      <c r="I48" s="10" t="s">
        <v>51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0" customHeight="1">
      <c r="A49" s="27" t="s">
        <v>80</v>
      </c>
      <c r="B49" s="27"/>
      <c r="C49" s="39">
        <f>C24*C35*'Starting Data Set'!D22</f>
        <v>139634.3259</v>
      </c>
      <c r="D49" s="39">
        <f>D24*D35*'Starting Data Set'!E22</f>
        <v>194722.0409</v>
      </c>
      <c r="E49" s="39">
        <f>(E24+E26)*E35*'Starting Data Set'!F22</f>
        <v>222929.4249</v>
      </c>
      <c r="F49" s="39">
        <f>(F24+F26+F27)*F35*'Starting Data Set'!G22</f>
        <v>354719.2033</v>
      </c>
      <c r="G49" s="39">
        <f>(G24+G26+G27)*G35*'Starting Data Set'!H22</f>
        <v>537178.4777</v>
      </c>
      <c r="H49" s="10"/>
      <c r="I49" s="10" t="s">
        <v>51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 t="s">
        <v>81</v>
      </c>
      <c r="B50" s="27"/>
      <c r="C50" s="44">
        <f>'OM IS Expenses'!D13+'OM IS Expenses'!D27+'OM IS Expenses'!D29+'OM IS Expenses'!D30</f>
        <v>34683.4</v>
      </c>
      <c r="D50" s="44">
        <f>'OM IS Expenses'!E13+'OM IS Expenses'!E27+'OM IS Expenses'!E29+'OM IS Expenses'!E30</f>
        <v>35453.77</v>
      </c>
      <c r="E50" s="44">
        <f>'OM IS Expenses'!F13+'OM IS Expenses'!F27+'OM IS Expenses'!F29+'OM IS Expenses'!F30</f>
        <v>37881.0385</v>
      </c>
      <c r="F50" s="44">
        <f>'OM IS Expenses'!G13+'OM IS Expenses'!G27+'OM IS Expenses'!G29+'OM IS Expenses'!G30</f>
        <v>46926.76143</v>
      </c>
      <c r="G50" s="44">
        <f>'OM IS Expenses'!H13+'OM IS Expenses'!H27+'OM IS Expenses'!H29+'OM IS Expenses'!H30</f>
        <v>49966.0741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8.0" customHeight="1">
      <c r="A51" s="31" t="s">
        <v>82</v>
      </c>
      <c r="B51" s="27"/>
      <c r="C51" s="37">
        <f t="shared" ref="C51:G51" si="5">SUM(C46:C50)</f>
        <v>1070979.402</v>
      </c>
      <c r="D51" s="37">
        <f t="shared" si="5"/>
        <v>1243253.818</v>
      </c>
      <c r="E51" s="37">
        <f t="shared" si="5"/>
        <v>1507616.412</v>
      </c>
      <c r="F51" s="37">
        <f t="shared" si="5"/>
        <v>1931590.982</v>
      </c>
      <c r="G51" s="37">
        <f t="shared" si="5"/>
        <v>2600082.08</v>
      </c>
      <c r="H51" s="10" t="s">
        <v>38</v>
      </c>
      <c r="I51" s="10" t="s">
        <v>42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0" customHeight="1">
      <c r="A52" s="27" t="s">
        <v>83</v>
      </c>
      <c r="B52" s="27"/>
      <c r="C52" s="40">
        <f t="shared" ref="C52:G52" si="6">C51/C28</f>
        <v>22.68094947</v>
      </c>
      <c r="D52" s="40">
        <f t="shared" si="6"/>
        <v>15.31017238</v>
      </c>
      <c r="E52" s="40">
        <f t="shared" si="6"/>
        <v>14.25459571</v>
      </c>
      <c r="F52" s="40">
        <f t="shared" si="6"/>
        <v>12.11238134</v>
      </c>
      <c r="G52" s="40">
        <f t="shared" si="6"/>
        <v>10.89145911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 t="s">
        <v>84</v>
      </c>
      <c r="B53" s="9"/>
      <c r="C53" s="9"/>
      <c r="D53" s="9"/>
      <c r="E53" s="9"/>
      <c r="F53" s="9"/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 t="s">
        <v>29</v>
      </c>
      <c r="B54" s="27"/>
      <c r="C54" s="27"/>
      <c r="D54" s="27"/>
      <c r="E54" s="27"/>
      <c r="F54" s="27"/>
      <c r="G54" s="27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0" customHeight="1">
      <c r="A55" s="45" t="s">
        <v>85</v>
      </c>
      <c r="B55" s="27" t="s">
        <v>86</v>
      </c>
      <c r="C55" s="27" t="s">
        <v>87</v>
      </c>
      <c r="D55" s="27"/>
      <c r="E55" s="27"/>
      <c r="F55" s="27"/>
      <c r="G55" s="27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0" customHeight="1">
      <c r="A56" s="45" t="s">
        <v>88</v>
      </c>
      <c r="B56" s="27" t="s">
        <v>89</v>
      </c>
      <c r="C56" s="27" t="s">
        <v>87</v>
      </c>
      <c r="D56" s="27"/>
      <c r="E56" s="27"/>
      <c r="F56" s="27"/>
      <c r="G56" s="27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0" customHeight="1">
      <c r="A57" s="45" t="s">
        <v>90</v>
      </c>
      <c r="B57" s="40" t="s">
        <v>91</v>
      </c>
      <c r="C57" s="27" t="s">
        <v>87</v>
      </c>
      <c r="D57" s="27"/>
      <c r="E57" s="27"/>
      <c r="F57" s="27"/>
      <c r="G57" s="27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0" customHeight="1">
      <c r="A58" s="40" t="s">
        <v>92</v>
      </c>
      <c r="B58" s="40" t="s">
        <v>93</v>
      </c>
      <c r="C58" s="40" t="s">
        <v>87</v>
      </c>
      <c r="D58" s="40"/>
      <c r="E58" s="40"/>
      <c r="F58" s="40"/>
      <c r="G58" s="4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46" t="s">
        <v>94</v>
      </c>
      <c r="B59" s="27"/>
      <c r="C59" s="27"/>
      <c r="D59" s="27"/>
      <c r="E59" s="27"/>
      <c r="F59" s="27"/>
      <c r="G59" s="27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0" customHeight="1">
      <c r="A60" s="27" t="s">
        <v>95</v>
      </c>
      <c r="B60" s="27"/>
      <c r="C60" s="18">
        <f>'OM Inventory'!C46+'OM Inventory'!D46</f>
        <v>92355.68991</v>
      </c>
      <c r="D60" s="18">
        <f>'OM Inventory'!C53+'OM Inventory'!D53</f>
        <v>127815.2221</v>
      </c>
      <c r="E60" s="18">
        <f>'OM Inventory'!C60+'OM Inventory'!D60</f>
        <v>160107.9895</v>
      </c>
      <c r="F60" s="18">
        <f>'OM Inventory'!C67+'OM Inventory'!D67</f>
        <v>210899.5824</v>
      </c>
      <c r="G60" s="18">
        <f>'OM Inventory'!C74+'OM Inventory'!D74</f>
        <v>268129.3044</v>
      </c>
      <c r="H60" s="10"/>
      <c r="I60" s="10" t="s">
        <v>42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0" customHeight="1">
      <c r="A61" s="27" t="s">
        <v>96</v>
      </c>
      <c r="B61" s="27"/>
      <c r="C61" s="18">
        <f>'OM Inventory'!E46</f>
        <v>28099.49346</v>
      </c>
      <c r="D61" s="18">
        <f>'OM Inventory'!E53</f>
        <v>45471.04698</v>
      </c>
      <c r="E61" s="18">
        <f>'OM Inventory'!E60</f>
        <v>68815.42134</v>
      </c>
      <c r="F61" s="18">
        <f>'OM Inventory'!E67</f>
        <v>96177.5344</v>
      </c>
      <c r="G61" s="18">
        <f>'OM Inventory'!E74</f>
        <v>140237.5834</v>
      </c>
      <c r="H61" s="10"/>
      <c r="I61" s="10" t="s">
        <v>42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0" customHeight="1">
      <c r="A62" s="27" t="s">
        <v>97</v>
      </c>
      <c r="B62" s="27"/>
      <c r="C62" s="47">
        <f t="shared" ref="C62:G62" si="7">SUM(C60:C61)</f>
        <v>120455.1834</v>
      </c>
      <c r="D62" s="47">
        <f t="shared" si="7"/>
        <v>173286.2691</v>
      </c>
      <c r="E62" s="47">
        <f t="shared" si="7"/>
        <v>228923.4109</v>
      </c>
      <c r="F62" s="47">
        <f t="shared" si="7"/>
        <v>307077.1168</v>
      </c>
      <c r="G62" s="47">
        <f t="shared" si="7"/>
        <v>408366.8878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0" customHeight="1">
      <c r="A63" s="27" t="s">
        <v>98</v>
      </c>
      <c r="B63" s="27"/>
      <c r="C63" s="18"/>
      <c r="D63" s="18">
        <f>'OM Capital Expenditures'!E49</f>
        <v>8292.199394</v>
      </c>
      <c r="E63" s="18">
        <f>'OM Capital Expenditures'!F49</f>
        <v>15013.68626</v>
      </c>
      <c r="F63" s="18">
        <f>'OM Capital Expenditures'!G49</f>
        <v>7646.578752</v>
      </c>
      <c r="G63" s="18">
        <f>'OM Capital Expenditures'!H49</f>
        <v>13307.3889</v>
      </c>
      <c r="H63" s="10"/>
      <c r="I63" s="10" t="s">
        <v>42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0" customHeight="1">
      <c r="A64" s="27"/>
      <c r="B64" s="27"/>
      <c r="C64" s="27"/>
      <c r="D64" s="27"/>
      <c r="E64" s="27"/>
      <c r="F64" s="27"/>
      <c r="G64" s="27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9" t="s">
        <v>99</v>
      </c>
      <c r="B65" s="9"/>
      <c r="C65" s="9"/>
      <c r="D65" s="9"/>
      <c r="E65" s="9"/>
      <c r="F65" s="9"/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0" customHeight="1">
      <c r="A66" s="31"/>
      <c r="B66" s="31"/>
      <c r="C66" s="31"/>
      <c r="D66" s="31"/>
      <c r="E66" s="31"/>
      <c r="F66" s="31"/>
      <c r="G66" s="31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31" t="s">
        <v>100</v>
      </c>
      <c r="B67" s="48">
        <f>'FE Comparable Companies Analysi'!C20</f>
        <v>0.2090185</v>
      </c>
      <c r="C67" s="31"/>
      <c r="D67" s="31"/>
      <c r="E67" s="31"/>
      <c r="F67" s="31"/>
      <c r="G67" s="31"/>
      <c r="H67" s="10"/>
      <c r="I67" s="10" t="s">
        <v>45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0" customHeight="1">
      <c r="A68" s="31" t="s">
        <v>101</v>
      </c>
      <c r="B68" s="48">
        <v>0.1</v>
      </c>
      <c r="C68" s="31"/>
      <c r="D68" s="31"/>
      <c r="E68" s="31"/>
      <c r="F68" s="31"/>
      <c r="G68" s="31"/>
      <c r="H68" s="10"/>
      <c r="I68" s="10" t="s">
        <v>51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0" customHeight="1">
      <c r="A69" s="31"/>
      <c r="B69" s="31"/>
      <c r="C69" s="31"/>
      <c r="D69" s="31"/>
      <c r="E69" s="31"/>
      <c r="F69" s="31"/>
      <c r="G69" s="31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0" customHeight="1">
      <c r="A70" s="31" t="s">
        <v>102</v>
      </c>
      <c r="B70" s="48">
        <v>0.27</v>
      </c>
      <c r="C70" s="31"/>
      <c r="D70" s="31"/>
      <c r="E70" s="31"/>
      <c r="F70" s="31"/>
      <c r="G70" s="31"/>
      <c r="H70" s="10"/>
      <c r="I70" s="10" t="s">
        <v>45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0" customHeight="1">
      <c r="A71" s="49" t="s">
        <v>103</v>
      </c>
      <c r="B71" s="48">
        <v>0.05</v>
      </c>
      <c r="C71" s="31"/>
      <c r="D71" s="31"/>
      <c r="E71" s="31"/>
      <c r="F71" s="31"/>
      <c r="G71" s="31"/>
      <c r="H71" s="10"/>
      <c r="I71" s="10" t="s">
        <v>45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0" customHeight="1">
      <c r="A72" s="31"/>
      <c r="B72" s="31"/>
      <c r="C72" s="31"/>
      <c r="D72" s="31"/>
      <c r="E72" s="31"/>
      <c r="F72" s="31"/>
      <c r="G72" s="31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0" customHeight="1">
      <c r="A73" s="17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0" customHeight="1">
      <c r="A74" s="1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0" customHeight="1">
      <c r="A75" s="1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0" customHeight="1">
      <c r="A76" s="1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0" customHeight="1">
      <c r="A77" s="50"/>
      <c r="B77" s="51"/>
      <c r="C77" s="52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0" customHeight="1">
      <c r="A78" s="17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0" customHeight="1">
      <c r="A79" s="1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0" customHeight="1">
      <c r="A80" s="17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0" customHeight="1">
      <c r="A81" s="17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0" customHeight="1">
      <c r="A82" s="17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0" customHeight="1">
      <c r="A83" s="17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0" customHeight="1">
      <c r="A84" s="17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0" customHeight="1">
      <c r="A85" s="17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0" customHeight="1">
      <c r="A86" s="17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0" customHeight="1">
      <c r="A87" s="17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0" customHeight="1">
      <c r="A88" s="17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0" customHeight="1">
      <c r="A89" s="17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0" customHeight="1">
      <c r="A90" s="17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0" customHeight="1">
      <c r="A91" s="1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0" customHeight="1">
      <c r="A92" s="17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0" customHeight="1">
      <c r="A93" s="17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0" customHeight="1">
      <c r="A94" s="17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0" customHeight="1">
      <c r="A95" s="17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0" customHeight="1">
      <c r="A96" s="17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0" customHeight="1">
      <c r="A97" s="17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0" customHeight="1">
      <c r="A98" s="17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0" customHeight="1">
      <c r="A99" s="17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0" customHeight="1">
      <c r="A100" s="17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0" customHeight="1">
      <c r="A101" s="17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0" customHeight="1">
      <c r="A102" s="17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0" customHeight="1">
      <c r="A103" s="17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0" customHeight="1">
      <c r="A104" s="17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0" customHeight="1">
      <c r="A105" s="17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0" customHeight="1">
      <c r="A106" s="17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0" customHeight="1">
      <c r="A107" s="17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0" customHeight="1">
      <c r="A108" s="17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0" customHeight="1">
      <c r="A109" s="17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0" customHeight="1">
      <c r="A110" s="17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0" customHeight="1">
      <c r="A111" s="17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0" customHeight="1">
      <c r="A112" s="17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0" customHeight="1">
      <c r="A113" s="17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0" customHeight="1">
      <c r="A114" s="17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0" customHeight="1">
      <c r="A115" s="17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0" customHeight="1">
      <c r="A116" s="17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0" customHeight="1">
      <c r="A117" s="17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0" customHeight="1">
      <c r="A118" s="17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0" customHeight="1">
      <c r="A119" s="17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0" customHeight="1">
      <c r="A120" s="17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0" customHeight="1">
      <c r="A121" s="17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0" customHeight="1">
      <c r="A122" s="17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0" customHeight="1">
      <c r="A123" s="17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0" customHeight="1">
      <c r="A124" s="17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0" customHeight="1">
      <c r="A125" s="17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0" customHeight="1">
      <c r="A126" s="1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0" customHeight="1">
      <c r="A127" s="17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0" customHeight="1">
      <c r="A128" s="17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0" customHeight="1">
      <c r="A129" s="17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0" customHeight="1">
      <c r="A130" s="17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0" customHeight="1">
      <c r="A131" s="17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0" customHeight="1">
      <c r="A132" s="17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0" customHeight="1">
      <c r="A133" s="17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0" customHeight="1">
      <c r="A134" s="17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0" customHeight="1">
      <c r="A135" s="17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0" customHeight="1">
      <c r="A136" s="17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0" customHeight="1">
      <c r="A137" s="17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0" customHeight="1">
      <c r="A138" s="17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0" customHeight="1">
      <c r="A139" s="17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0" customHeight="1">
      <c r="A140" s="17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0" customHeight="1">
      <c r="A141" s="17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0" customHeight="1">
      <c r="A142" s="17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0" customHeight="1">
      <c r="A143" s="17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0" customHeight="1">
      <c r="A144" s="17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0" customHeight="1">
      <c r="A145" s="17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0" customHeight="1">
      <c r="A146" s="1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0" customHeight="1">
      <c r="A147" s="17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0" customHeight="1">
      <c r="A148" s="1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0" customHeight="1">
      <c r="A149" s="17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0" customHeight="1">
      <c r="A150" s="17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0" customHeight="1">
      <c r="A151" s="17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0" customHeight="1">
      <c r="A152" s="17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0" customHeight="1">
      <c r="A153" s="17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0" customHeight="1">
      <c r="A154" s="17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0" customHeight="1">
      <c r="A155" s="17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0" customHeight="1">
      <c r="A156" s="17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0" customHeight="1">
      <c r="A157" s="17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0" customHeight="1">
      <c r="A158" s="17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0" customHeight="1">
      <c r="A159" s="17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0" customHeight="1">
      <c r="A160" s="17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0" customHeight="1">
      <c r="A161" s="17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0" customHeight="1">
      <c r="A162" s="17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0" customHeight="1">
      <c r="A163" s="17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0" customHeight="1">
      <c r="A164" s="17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0" customHeight="1">
      <c r="A165" s="17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0" customHeight="1">
      <c r="A166" s="17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0" customHeight="1">
      <c r="A167" s="17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0" customHeight="1">
      <c r="A168" s="17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0" customHeight="1">
      <c r="A169" s="17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0" customHeight="1">
      <c r="A170" s="17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0" customHeight="1">
      <c r="A171" s="17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0" customHeight="1">
      <c r="A172" s="17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0" customHeight="1">
      <c r="A173" s="17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0" customHeight="1">
      <c r="A174" s="17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0" customHeight="1">
      <c r="A175" s="17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0" customHeight="1">
      <c r="A176" s="17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0" customHeight="1">
      <c r="A177" s="17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0" customHeight="1">
      <c r="A178" s="17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0" customHeight="1">
      <c r="A179" s="17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0" customHeight="1">
      <c r="A180" s="17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0" customHeight="1">
      <c r="A181" s="17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0" customHeight="1">
      <c r="A182" s="17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0" customHeight="1">
      <c r="A183" s="17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0" customHeight="1">
      <c r="A184" s="17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0" customHeight="1">
      <c r="A185" s="17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0" customHeight="1">
      <c r="A186" s="17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0" customHeight="1">
      <c r="A187" s="17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0" customHeight="1">
      <c r="A188" s="17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0" customHeight="1">
      <c r="A189" s="17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0" customHeight="1">
      <c r="A190" s="17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0" customHeight="1">
      <c r="A191" s="17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0" customHeight="1">
      <c r="A192" s="17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0" customHeight="1">
      <c r="A193" s="17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0" customHeight="1">
      <c r="A194" s="17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0" customHeight="1">
      <c r="A195" s="17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0" customHeight="1">
      <c r="A196" s="17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0" customHeight="1">
      <c r="A197" s="17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0" customHeight="1">
      <c r="A198" s="17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0" customHeight="1">
      <c r="A199" s="17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0" customHeight="1">
      <c r="A200" s="17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0" customHeight="1">
      <c r="A201" s="17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0" customHeight="1">
      <c r="A202" s="17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0" customHeight="1">
      <c r="A203" s="17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0" customHeight="1">
      <c r="A204" s="17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0" customHeight="1">
      <c r="A205" s="17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0" customHeight="1">
      <c r="A206" s="17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0" customHeight="1">
      <c r="A207" s="17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0" customHeight="1">
      <c r="A208" s="17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0" customHeight="1">
      <c r="A209" s="17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0" customHeight="1">
      <c r="A210" s="17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0" customHeight="1">
      <c r="A211" s="17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0" customHeight="1">
      <c r="A212" s="17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0" customHeight="1">
      <c r="A213" s="17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0" customHeight="1">
      <c r="A214" s="17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0" customHeight="1">
      <c r="A215" s="17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0" customHeight="1">
      <c r="A216" s="17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0" customHeight="1">
      <c r="A217" s="17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0" customHeight="1">
      <c r="A218" s="17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0" customHeight="1">
      <c r="A219" s="17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0" customHeight="1">
      <c r="A220" s="17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0" customHeight="1">
      <c r="A221" s="17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0" customHeight="1">
      <c r="A222" s="17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0" customHeight="1">
      <c r="A223" s="17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0" customHeight="1">
      <c r="A224" s="17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0" customHeight="1">
      <c r="A225" s="17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0" customHeight="1">
      <c r="A226" s="17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0" customHeight="1">
      <c r="A227" s="17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0" customHeight="1">
      <c r="A228" s="17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0" customHeight="1">
      <c r="A229" s="17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0" customHeight="1">
      <c r="A230" s="17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0" customHeight="1">
      <c r="A231" s="17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0" customHeight="1">
      <c r="A232" s="17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0" customHeight="1">
      <c r="A233" s="17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0" customHeight="1">
      <c r="A234" s="17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0" customHeight="1">
      <c r="A235" s="17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0" customHeight="1">
      <c r="A236" s="17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0" customHeight="1">
      <c r="A237" s="17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0" customHeight="1">
      <c r="A238" s="17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0" customHeight="1">
      <c r="A239" s="17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0" customHeight="1">
      <c r="A240" s="17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0" customHeight="1">
      <c r="A241" s="17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0" customHeight="1">
      <c r="A242" s="17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0" customHeight="1">
      <c r="A243" s="17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0" customHeight="1">
      <c r="A244" s="17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0" customHeight="1">
      <c r="A245" s="17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0" customHeight="1">
      <c r="A246" s="17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0" customHeight="1">
      <c r="A247" s="17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0" customHeight="1">
      <c r="A248" s="17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0" customHeight="1">
      <c r="A249" s="17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0" customHeight="1">
      <c r="A250" s="17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0" customHeight="1">
      <c r="A251" s="17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0" customHeight="1">
      <c r="A252" s="17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0" customHeight="1">
      <c r="A253" s="17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0" customHeight="1">
      <c r="A254" s="17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0" customHeight="1">
      <c r="A255" s="17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0" customHeight="1">
      <c r="A256" s="17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0" customHeight="1">
      <c r="A257" s="17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0" customHeight="1">
      <c r="A258" s="17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0" customHeight="1">
      <c r="A259" s="17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0" customHeight="1">
      <c r="A260" s="17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0" customHeight="1">
      <c r="A261" s="17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0" customHeight="1">
      <c r="A262" s="17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0" customHeight="1">
      <c r="A263" s="17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0" customHeight="1">
      <c r="A264" s="17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0" customHeight="1">
      <c r="A265" s="17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0" customHeight="1">
      <c r="A266" s="17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0" customHeight="1">
      <c r="A267" s="17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0" customHeight="1">
      <c r="A268" s="17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0" customHeight="1">
      <c r="A269" s="17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0" customHeight="1">
      <c r="A270" s="17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0" customHeight="1">
      <c r="A271" s="17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0" customHeight="1">
      <c r="A272" s="17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0" customHeight="1">
      <c r="A273" s="17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0" customHeight="1">
      <c r="A274" s="17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0" customHeight="1">
      <c r="A275" s="17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0" customHeight="1">
      <c r="A276" s="17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0" customHeight="1">
      <c r="A277" s="17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0" customHeight="1">
      <c r="A278" s="17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0" customHeight="1">
      <c r="A279" s="17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0" customHeight="1">
      <c r="A280" s="17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0" customHeight="1">
      <c r="A281" s="17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0" customHeight="1">
      <c r="A282" s="17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0" customHeight="1">
      <c r="A283" s="17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0" customHeight="1">
      <c r="A284" s="17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0" customHeight="1">
      <c r="A285" s="17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0" customHeight="1">
      <c r="A286" s="17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0" customHeight="1">
      <c r="A287" s="17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0" customHeight="1">
      <c r="A288" s="17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0" customHeight="1">
      <c r="A289" s="17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0" customHeight="1">
      <c r="A290" s="17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0" customHeight="1">
      <c r="A291" s="17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0" customHeight="1">
      <c r="A292" s="17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0" customHeight="1">
      <c r="A293" s="17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0" customHeight="1">
      <c r="A294" s="17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0" customHeight="1">
      <c r="A295" s="17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0" customHeight="1">
      <c r="A296" s="17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0" customHeight="1">
      <c r="A297" s="17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0" customHeight="1">
      <c r="A298" s="17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0" customHeight="1">
      <c r="A299" s="17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0" customHeight="1">
      <c r="A300" s="17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0" customHeight="1">
      <c r="A301" s="17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0" customHeight="1">
      <c r="A302" s="17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0" customHeight="1">
      <c r="A303" s="17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0" customHeight="1">
      <c r="A304" s="17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0" customHeight="1">
      <c r="A305" s="17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0" customHeight="1">
      <c r="A306" s="17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0" customHeight="1">
      <c r="A307" s="17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0" customHeight="1">
      <c r="A308" s="17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0" customHeight="1">
      <c r="A309" s="17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0" customHeight="1">
      <c r="A310" s="17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0" customHeight="1">
      <c r="A311" s="17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0" customHeight="1">
      <c r="A312" s="17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0" customHeight="1">
      <c r="A313" s="17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0" customHeight="1">
      <c r="A314" s="17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0" customHeight="1">
      <c r="A315" s="17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0" customHeight="1">
      <c r="A316" s="17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0" customHeight="1">
      <c r="A317" s="17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0" customHeight="1">
      <c r="A318" s="17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0" customHeight="1">
      <c r="A319" s="17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0" customHeight="1">
      <c r="A320" s="17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0" customHeight="1">
      <c r="A321" s="17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0" customHeight="1">
      <c r="A322" s="17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0" customHeight="1">
      <c r="A323" s="17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0" customHeight="1">
      <c r="A324" s="17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0" customHeight="1">
      <c r="A325" s="17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0" customHeight="1">
      <c r="A326" s="17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0" customHeight="1">
      <c r="A327" s="17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0" customHeight="1">
      <c r="A328" s="17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0" customHeight="1">
      <c r="A329" s="17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0" customHeight="1">
      <c r="A330" s="17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0" customHeight="1">
      <c r="A331" s="17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0" customHeight="1">
      <c r="A332" s="17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0" customHeight="1">
      <c r="A333" s="17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0" customHeight="1">
      <c r="A334" s="17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0" customHeight="1">
      <c r="A335" s="17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0" customHeight="1">
      <c r="A336" s="17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0" customHeight="1">
      <c r="A337" s="17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0" customHeight="1">
      <c r="A338" s="17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0" customHeight="1">
      <c r="A339" s="17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0" customHeight="1">
      <c r="A340" s="17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0" customHeight="1">
      <c r="A341" s="17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0" customHeight="1">
      <c r="A342" s="17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0" customHeight="1">
      <c r="A343" s="17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0" customHeight="1">
      <c r="A344" s="17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0" customHeight="1">
      <c r="A345" s="17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0" customHeight="1">
      <c r="A346" s="17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0" customHeight="1">
      <c r="A347" s="17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0" customHeight="1">
      <c r="A348" s="17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0" customHeight="1">
      <c r="A349" s="17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0" customHeight="1">
      <c r="A350" s="17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0" customHeight="1">
      <c r="A351" s="17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0" customHeight="1">
      <c r="A352" s="17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0" customHeight="1">
      <c r="A353" s="17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0" customHeight="1">
      <c r="A354" s="17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0" customHeight="1">
      <c r="A355" s="17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0" customHeight="1">
      <c r="A356" s="17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0" customHeight="1">
      <c r="A357" s="17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0" customHeight="1">
      <c r="A358" s="17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0" customHeight="1">
      <c r="A359" s="17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0" customHeight="1">
      <c r="A360" s="17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0" customHeight="1">
      <c r="A361" s="17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0" customHeight="1">
      <c r="A362" s="17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0" customHeight="1">
      <c r="A363" s="17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0" customHeight="1">
      <c r="A364" s="17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0" customHeight="1">
      <c r="A365" s="17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0" customHeight="1">
      <c r="A366" s="17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0" customHeight="1">
      <c r="A367" s="17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0" customHeight="1">
      <c r="A368" s="17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0" customHeight="1">
      <c r="A369" s="17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0" customHeight="1">
      <c r="A370" s="17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0" customHeight="1">
      <c r="A371" s="17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0" customHeight="1">
      <c r="A372" s="17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0" customHeight="1">
      <c r="A373" s="17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0" customHeight="1">
      <c r="A374" s="17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0" customHeight="1">
      <c r="A375" s="17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0" customHeight="1">
      <c r="A376" s="17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0" customHeight="1">
      <c r="A377" s="17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0" customHeight="1">
      <c r="A378" s="17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0" customHeight="1">
      <c r="A379" s="17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0" customHeight="1">
      <c r="A380" s="17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0" customHeight="1">
      <c r="A381" s="17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0" customHeight="1">
      <c r="A382" s="17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0" customHeight="1">
      <c r="A383" s="17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0" customHeight="1">
      <c r="A384" s="17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0" customHeight="1">
      <c r="A385" s="17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0" customHeight="1">
      <c r="A386" s="17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0" customHeight="1">
      <c r="A387" s="17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0" customHeight="1">
      <c r="A388" s="17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0" customHeight="1">
      <c r="A389" s="17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0" customHeight="1">
      <c r="A390" s="17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0" customHeight="1">
      <c r="A391" s="17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0" customHeight="1">
      <c r="A392" s="17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0" customHeight="1">
      <c r="A393" s="17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0" customHeight="1">
      <c r="A394" s="17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0" customHeight="1">
      <c r="A395" s="17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0" customHeight="1">
      <c r="A396" s="17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0" customHeight="1">
      <c r="A397" s="17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0" customHeight="1">
      <c r="A398" s="17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0" customHeight="1">
      <c r="A399" s="17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0" customHeight="1">
      <c r="A400" s="17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0" customHeight="1">
      <c r="A401" s="17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0" customHeight="1">
      <c r="A402" s="17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0" customHeight="1">
      <c r="A403" s="17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0" customHeight="1">
      <c r="A404" s="17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0" customHeight="1">
      <c r="A405" s="17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0" customHeight="1">
      <c r="A406" s="17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0" customHeight="1">
      <c r="A407" s="17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0" customHeight="1">
      <c r="A408" s="17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0" customHeight="1">
      <c r="A409" s="17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0" customHeight="1">
      <c r="A410" s="17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0" customHeight="1">
      <c r="A411" s="17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0" customHeight="1">
      <c r="A412" s="17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0" customHeight="1">
      <c r="A413" s="17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0" customHeight="1">
      <c r="A414" s="17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0" customHeight="1">
      <c r="A415" s="17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0" customHeight="1">
      <c r="A416" s="17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0" customHeight="1">
      <c r="A417" s="17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0" customHeight="1">
      <c r="A418" s="17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0" customHeight="1">
      <c r="A419" s="17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0" customHeight="1">
      <c r="A420" s="17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0" customHeight="1">
      <c r="A421" s="17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0" customHeight="1">
      <c r="A422" s="17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0" customHeight="1">
      <c r="A423" s="17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0" customHeight="1">
      <c r="A424" s="17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0" customHeight="1">
      <c r="A425" s="17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0" customHeight="1">
      <c r="A426" s="17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0" customHeight="1">
      <c r="A427" s="17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0" customHeight="1">
      <c r="A428" s="17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0" customHeight="1">
      <c r="A429" s="17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0" customHeight="1">
      <c r="A430" s="17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0" customHeight="1">
      <c r="A431" s="17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0" customHeight="1">
      <c r="A432" s="17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0" customHeight="1">
      <c r="A433" s="17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0" customHeight="1">
      <c r="A434" s="17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0" customHeight="1">
      <c r="A435" s="17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0" customHeight="1">
      <c r="A436" s="17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0" customHeight="1">
      <c r="A437" s="17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0" customHeight="1">
      <c r="A438" s="17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0" customHeight="1">
      <c r="A439" s="17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0" customHeight="1">
      <c r="A440" s="17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0" customHeight="1">
      <c r="A441" s="17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0" customHeight="1">
      <c r="A442" s="17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0" customHeight="1">
      <c r="A443" s="17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0" customHeight="1">
      <c r="A444" s="17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0" customHeight="1">
      <c r="A445" s="17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0" customHeight="1">
      <c r="A446" s="17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0" customHeight="1">
      <c r="A447" s="17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0" customHeight="1">
      <c r="A448" s="17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0" customHeight="1">
      <c r="A449" s="17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0" customHeight="1">
      <c r="A450" s="17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0" customHeight="1">
      <c r="A451" s="17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0" customHeight="1">
      <c r="A452" s="17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0" customHeight="1">
      <c r="A453" s="17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0" customHeight="1">
      <c r="A454" s="17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0" customHeight="1">
      <c r="A455" s="17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0" customHeight="1">
      <c r="A456" s="17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0" customHeight="1">
      <c r="A457" s="17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0" customHeight="1">
      <c r="A458" s="17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0" customHeight="1">
      <c r="A459" s="17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0" customHeight="1">
      <c r="A460" s="17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0" customHeight="1">
      <c r="A461" s="17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0" customHeight="1">
      <c r="A462" s="17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0" customHeight="1">
      <c r="A463" s="17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0" customHeight="1">
      <c r="A464" s="17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0" customHeight="1">
      <c r="A465" s="17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0" customHeight="1">
      <c r="A466" s="17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0" customHeight="1">
      <c r="A467" s="17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0" customHeight="1">
      <c r="A468" s="17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0" customHeight="1">
      <c r="A469" s="17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0" customHeight="1">
      <c r="A470" s="17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0" customHeight="1">
      <c r="A471" s="17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0" customHeight="1">
      <c r="A472" s="17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0" customHeight="1">
      <c r="A473" s="17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0" customHeight="1">
      <c r="A474" s="17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0" customHeight="1">
      <c r="A475" s="17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0" customHeight="1">
      <c r="A476" s="17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0" customHeight="1">
      <c r="A477" s="17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0" customHeight="1">
      <c r="A478" s="17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0" customHeight="1">
      <c r="A479" s="17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0" customHeight="1">
      <c r="A480" s="17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0" customHeight="1">
      <c r="A481" s="17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0" customHeight="1">
      <c r="A482" s="17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0" customHeight="1">
      <c r="A483" s="17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0" customHeight="1">
      <c r="A484" s="17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0" customHeight="1">
      <c r="A485" s="17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0" customHeight="1">
      <c r="A486" s="17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0" customHeight="1">
      <c r="A487" s="17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0" customHeight="1">
      <c r="A488" s="17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0" customHeight="1">
      <c r="A489" s="17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0" customHeight="1">
      <c r="A490" s="17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0" customHeight="1">
      <c r="A491" s="17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0" customHeight="1">
      <c r="A492" s="17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0" customHeight="1">
      <c r="A493" s="17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0" customHeight="1">
      <c r="A494" s="17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0" customHeight="1">
      <c r="A495" s="17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0" customHeight="1">
      <c r="A496" s="17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0" customHeight="1">
      <c r="A497" s="17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0" customHeight="1">
      <c r="A498" s="17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0" customHeight="1">
      <c r="A499" s="17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0" customHeight="1">
      <c r="A500" s="17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0" customHeight="1">
      <c r="A501" s="17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0" customHeight="1">
      <c r="A502" s="17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0" customHeight="1">
      <c r="A503" s="17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0" customHeight="1">
      <c r="A504" s="17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0" customHeight="1">
      <c r="A505" s="17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0" customHeight="1">
      <c r="A506" s="17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0" customHeight="1">
      <c r="A507" s="17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0" customHeight="1">
      <c r="A508" s="17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0" customHeight="1">
      <c r="A509" s="17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0" customHeight="1">
      <c r="A510" s="17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0" customHeight="1">
      <c r="A511" s="17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0" customHeight="1">
      <c r="A512" s="17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0" customHeight="1">
      <c r="A513" s="17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0" customHeight="1">
      <c r="A514" s="17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0" customHeight="1">
      <c r="A515" s="17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0" customHeight="1">
      <c r="A516" s="17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0" customHeight="1">
      <c r="A517" s="17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0" customHeight="1">
      <c r="A518" s="17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0" customHeight="1">
      <c r="A519" s="17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0" customHeight="1">
      <c r="A520" s="17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0" customHeight="1">
      <c r="A521" s="17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0" customHeight="1">
      <c r="A522" s="17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0" customHeight="1">
      <c r="A523" s="17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0" customHeight="1">
      <c r="A524" s="17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0" customHeight="1">
      <c r="A525" s="17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0" customHeight="1">
      <c r="A526" s="17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0" customHeight="1">
      <c r="A527" s="17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0" customHeight="1">
      <c r="A528" s="17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0" customHeight="1">
      <c r="A529" s="17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0" customHeight="1">
      <c r="A530" s="17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0" customHeight="1">
      <c r="A531" s="17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0" customHeight="1">
      <c r="A532" s="17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0" customHeight="1">
      <c r="A533" s="17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0" customHeight="1">
      <c r="A534" s="17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0" customHeight="1">
      <c r="A535" s="17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0" customHeight="1">
      <c r="A536" s="17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0" customHeight="1">
      <c r="A537" s="17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0" customHeight="1">
      <c r="A538" s="17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0" customHeight="1">
      <c r="A539" s="17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0" customHeight="1">
      <c r="A540" s="17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0" customHeight="1">
      <c r="A541" s="17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0" customHeight="1">
      <c r="A542" s="17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0" customHeight="1">
      <c r="A543" s="17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0" customHeight="1">
      <c r="A544" s="17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0" customHeight="1">
      <c r="A545" s="17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0" customHeight="1">
      <c r="A546" s="17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0" customHeight="1">
      <c r="A547" s="17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0" customHeight="1">
      <c r="A548" s="17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0" customHeight="1">
      <c r="A549" s="17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0" customHeight="1">
      <c r="A550" s="17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0" customHeight="1">
      <c r="A551" s="17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0" customHeight="1">
      <c r="A552" s="17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0" customHeight="1">
      <c r="A553" s="17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0" customHeight="1">
      <c r="A554" s="17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0" customHeight="1">
      <c r="A555" s="17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0" customHeight="1">
      <c r="A556" s="17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0" customHeight="1">
      <c r="A557" s="17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0" customHeight="1">
      <c r="A558" s="17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0" customHeight="1">
      <c r="A559" s="17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0" customHeight="1">
      <c r="A560" s="17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0" customHeight="1">
      <c r="A561" s="17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0" customHeight="1">
      <c r="A562" s="17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0" customHeight="1">
      <c r="A563" s="17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0" customHeight="1">
      <c r="A564" s="17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0" customHeight="1">
      <c r="A565" s="17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0" customHeight="1">
      <c r="A566" s="17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0" customHeight="1">
      <c r="A567" s="17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0" customHeight="1">
      <c r="A568" s="17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0" customHeight="1">
      <c r="A569" s="17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0" customHeight="1">
      <c r="A570" s="17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0" customHeight="1">
      <c r="A571" s="17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0" customHeight="1">
      <c r="A572" s="17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0" customHeight="1">
      <c r="A573" s="17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0" customHeight="1">
      <c r="A574" s="17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0" customHeight="1">
      <c r="A575" s="17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0" customHeight="1">
      <c r="A576" s="17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0" customHeight="1">
      <c r="A577" s="17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0" customHeight="1">
      <c r="A578" s="17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0" customHeight="1">
      <c r="A579" s="17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0" customHeight="1">
      <c r="A580" s="17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0" customHeight="1">
      <c r="A581" s="17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0" customHeight="1">
      <c r="A582" s="17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0" customHeight="1">
      <c r="A583" s="17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0" customHeight="1">
      <c r="A584" s="17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0" customHeight="1">
      <c r="A585" s="17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0" customHeight="1">
      <c r="A586" s="17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0" customHeight="1">
      <c r="A587" s="17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0" customHeight="1">
      <c r="A588" s="17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0" customHeight="1">
      <c r="A589" s="17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0" customHeight="1">
      <c r="A590" s="17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0" customHeight="1">
      <c r="A591" s="17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0" customHeight="1">
      <c r="A592" s="17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0" customHeight="1">
      <c r="A593" s="17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0" customHeight="1">
      <c r="A594" s="17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0" customHeight="1">
      <c r="A595" s="17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0" customHeight="1">
      <c r="A596" s="17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0" customHeight="1">
      <c r="A597" s="17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0" customHeight="1">
      <c r="A598" s="17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0" customHeight="1">
      <c r="A599" s="17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0" customHeight="1">
      <c r="A600" s="17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0" customHeight="1">
      <c r="A601" s="17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0" customHeight="1">
      <c r="A602" s="17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0" customHeight="1">
      <c r="A603" s="17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0" customHeight="1">
      <c r="A604" s="17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0" customHeight="1">
      <c r="A605" s="17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0" customHeight="1">
      <c r="A606" s="17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0" customHeight="1">
      <c r="A607" s="17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0" customHeight="1">
      <c r="A608" s="17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0" customHeight="1">
      <c r="A609" s="17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0" customHeight="1">
      <c r="A610" s="17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0" customHeight="1">
      <c r="A611" s="17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0" customHeight="1">
      <c r="A612" s="17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0" customHeight="1">
      <c r="A613" s="17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0" customHeight="1">
      <c r="A614" s="17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0" customHeight="1">
      <c r="A615" s="17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0" customHeight="1">
      <c r="A616" s="17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0" customHeight="1">
      <c r="A617" s="17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0" customHeight="1">
      <c r="A618" s="17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0" customHeight="1">
      <c r="A619" s="17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0" customHeight="1">
      <c r="A620" s="17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0" customHeight="1">
      <c r="A621" s="17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0" customHeight="1">
      <c r="A622" s="17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0" customHeight="1">
      <c r="A623" s="17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0" customHeight="1">
      <c r="A624" s="17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0" customHeight="1">
      <c r="A625" s="17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0" customHeight="1">
      <c r="A626" s="17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0" customHeight="1">
      <c r="A627" s="17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0" customHeight="1">
      <c r="A628" s="17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0" customHeight="1">
      <c r="A629" s="17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0" customHeight="1">
      <c r="A630" s="17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0" customHeight="1">
      <c r="A631" s="17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0" customHeight="1">
      <c r="A632" s="17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0" customHeight="1">
      <c r="A633" s="17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0" customHeight="1">
      <c r="A634" s="17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0" customHeight="1">
      <c r="A635" s="17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0" customHeight="1">
      <c r="A636" s="17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0" customHeight="1">
      <c r="A637" s="17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0" customHeight="1">
      <c r="A638" s="17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0" customHeight="1">
      <c r="A639" s="17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0" customHeight="1">
      <c r="A640" s="17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0" customHeight="1">
      <c r="A641" s="17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0" customHeight="1">
      <c r="A642" s="17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0" customHeight="1">
      <c r="A643" s="17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0" customHeight="1">
      <c r="A644" s="17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0" customHeight="1">
      <c r="A645" s="17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0" customHeight="1">
      <c r="A646" s="17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0" customHeight="1">
      <c r="A647" s="17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0" customHeight="1">
      <c r="A648" s="17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0" customHeight="1">
      <c r="A649" s="17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0" customHeight="1">
      <c r="A650" s="17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0" customHeight="1">
      <c r="A651" s="17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0" customHeight="1">
      <c r="A652" s="17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0" customHeight="1">
      <c r="A653" s="17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0" customHeight="1">
      <c r="A654" s="17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0" customHeight="1">
      <c r="A655" s="17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0" customHeight="1">
      <c r="A656" s="17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0" customHeight="1">
      <c r="A657" s="17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0" customHeight="1">
      <c r="A658" s="17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0" customHeight="1">
      <c r="A659" s="17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0" customHeight="1">
      <c r="A660" s="17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0" customHeight="1">
      <c r="A661" s="17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0" customHeight="1">
      <c r="A662" s="17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0" customHeight="1">
      <c r="A663" s="17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0" customHeight="1">
      <c r="A664" s="17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0" customHeight="1">
      <c r="A665" s="17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0" customHeight="1">
      <c r="A666" s="17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0" customHeight="1">
      <c r="A667" s="17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0" customHeight="1">
      <c r="A668" s="17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0" customHeight="1">
      <c r="A669" s="17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0" customHeight="1">
      <c r="A670" s="17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0" customHeight="1">
      <c r="A671" s="17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0" customHeight="1">
      <c r="A672" s="17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0" customHeight="1">
      <c r="A673" s="17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0" customHeight="1">
      <c r="A674" s="17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0" customHeight="1">
      <c r="A675" s="17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0" customHeight="1">
      <c r="A676" s="17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0" customHeight="1">
      <c r="A677" s="17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0" customHeight="1">
      <c r="A678" s="17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0" customHeight="1">
      <c r="A679" s="17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0" customHeight="1">
      <c r="A680" s="17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0" customHeight="1">
      <c r="A681" s="17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0" customHeight="1">
      <c r="A682" s="17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0" customHeight="1">
      <c r="A683" s="17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0" customHeight="1">
      <c r="A684" s="17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0" customHeight="1">
      <c r="A685" s="17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0" customHeight="1">
      <c r="A686" s="17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0" customHeight="1">
      <c r="A687" s="17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0" customHeight="1">
      <c r="A688" s="17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0" customHeight="1">
      <c r="A689" s="17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0" customHeight="1">
      <c r="A690" s="17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0" customHeight="1">
      <c r="A691" s="17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0" customHeight="1">
      <c r="A692" s="17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0" customHeight="1">
      <c r="A693" s="17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0" customHeight="1">
      <c r="A694" s="17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0" customHeight="1">
      <c r="A695" s="17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0" customHeight="1">
      <c r="A696" s="17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0" customHeight="1">
      <c r="A697" s="17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0" customHeight="1">
      <c r="A698" s="17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0" customHeight="1">
      <c r="A699" s="17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0" customHeight="1">
      <c r="A700" s="17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0" customHeight="1">
      <c r="A701" s="17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0" customHeight="1">
      <c r="A702" s="17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0" customHeight="1">
      <c r="A703" s="17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0" customHeight="1">
      <c r="A704" s="17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0" customHeight="1">
      <c r="A705" s="17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0" customHeight="1">
      <c r="A706" s="17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0" customHeight="1">
      <c r="A707" s="17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0" customHeight="1">
      <c r="A708" s="17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0" customHeight="1">
      <c r="A709" s="17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0" customHeight="1">
      <c r="A710" s="17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0" customHeight="1">
      <c r="A711" s="17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0" customHeight="1">
      <c r="A712" s="17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0" customHeight="1">
      <c r="A713" s="17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0" customHeight="1">
      <c r="A714" s="17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0" customHeight="1">
      <c r="A715" s="17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0" customHeight="1">
      <c r="A716" s="17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0" customHeight="1">
      <c r="A717" s="17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0" customHeight="1">
      <c r="A718" s="17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0" customHeight="1">
      <c r="A719" s="17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0" customHeight="1">
      <c r="A720" s="17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0" customHeight="1">
      <c r="A721" s="17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0" customHeight="1">
      <c r="A722" s="17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0" customHeight="1">
      <c r="A723" s="17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0" customHeight="1">
      <c r="A724" s="17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0" customHeight="1">
      <c r="A725" s="17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0" customHeight="1">
      <c r="A726" s="17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0" customHeight="1">
      <c r="A727" s="17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0" customHeight="1">
      <c r="A728" s="17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0" customHeight="1">
      <c r="A729" s="17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0" customHeight="1">
      <c r="A730" s="17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0" customHeight="1">
      <c r="A731" s="17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0" customHeight="1">
      <c r="A732" s="17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0" customHeight="1">
      <c r="A733" s="17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0" customHeight="1">
      <c r="A734" s="17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0" customHeight="1">
      <c r="A735" s="17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0" customHeight="1">
      <c r="A736" s="17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0" customHeight="1">
      <c r="A737" s="17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0" customHeight="1">
      <c r="A738" s="17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0" customHeight="1">
      <c r="A739" s="17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0" customHeight="1">
      <c r="A740" s="17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0" customHeight="1">
      <c r="A741" s="17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0" customHeight="1">
      <c r="A742" s="17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0" customHeight="1">
      <c r="A743" s="17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0" customHeight="1">
      <c r="A744" s="17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0" customHeight="1">
      <c r="A745" s="17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0" customHeight="1">
      <c r="A746" s="17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0" customHeight="1">
      <c r="A747" s="17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0" customHeight="1">
      <c r="A748" s="17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0" customHeight="1">
      <c r="A749" s="17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0" customHeight="1">
      <c r="A750" s="17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0" customHeight="1">
      <c r="A751" s="17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0" customHeight="1">
      <c r="A752" s="17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0" customHeight="1">
      <c r="A753" s="17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0" customHeight="1">
      <c r="A754" s="17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0" customHeight="1">
      <c r="A755" s="17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0" customHeight="1">
      <c r="A756" s="17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0" customHeight="1">
      <c r="A757" s="17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0" customHeight="1">
      <c r="A758" s="17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0" customHeight="1">
      <c r="A759" s="17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0" customHeight="1">
      <c r="A760" s="17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0" customHeight="1">
      <c r="A761" s="17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0" customHeight="1">
      <c r="A762" s="17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0" customHeight="1">
      <c r="A763" s="17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0" customHeight="1">
      <c r="A764" s="17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0" customHeight="1">
      <c r="A765" s="17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0" customHeight="1">
      <c r="A766" s="17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0" customHeight="1">
      <c r="A767" s="17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0" customHeight="1">
      <c r="A768" s="17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0" customHeight="1">
      <c r="A769" s="17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0" customHeight="1">
      <c r="A770" s="17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0" customHeight="1">
      <c r="A771" s="17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0" customHeight="1">
      <c r="A772" s="17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0" customHeight="1">
      <c r="A773" s="17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0" customHeight="1">
      <c r="A774" s="17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0" customHeight="1">
      <c r="A775" s="17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0" customHeight="1">
      <c r="A776" s="17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0" customHeight="1">
      <c r="A777" s="17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0" customHeight="1">
      <c r="A778" s="17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0" customHeight="1">
      <c r="A779" s="17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0" customHeight="1">
      <c r="A780" s="17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0" customHeight="1">
      <c r="A781" s="17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0" customHeight="1">
      <c r="A782" s="17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0" customHeight="1">
      <c r="A783" s="17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0" customHeight="1">
      <c r="A784" s="17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0" customHeight="1">
      <c r="A785" s="17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0" customHeight="1">
      <c r="A786" s="17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0" customHeight="1">
      <c r="A787" s="17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0" customHeight="1">
      <c r="A788" s="17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0" customHeight="1">
      <c r="A789" s="17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0" customHeight="1">
      <c r="A790" s="17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0" customHeight="1">
      <c r="A791" s="17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0" customHeight="1">
      <c r="A792" s="17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0" customHeight="1">
      <c r="A793" s="17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0" customHeight="1">
      <c r="A794" s="17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0" customHeight="1">
      <c r="A795" s="17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0" customHeight="1">
      <c r="A796" s="17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0" customHeight="1">
      <c r="A797" s="17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0" customHeight="1">
      <c r="A798" s="17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0" customHeight="1">
      <c r="A799" s="17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0" customHeight="1">
      <c r="A800" s="17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0" customHeight="1">
      <c r="A801" s="17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0" customHeight="1">
      <c r="A802" s="17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0" customHeight="1">
      <c r="A803" s="17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0" customHeight="1">
      <c r="A804" s="17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0" customHeight="1">
      <c r="A805" s="17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0" customHeight="1">
      <c r="A806" s="17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0" customHeight="1">
      <c r="A807" s="17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0" customHeight="1">
      <c r="A808" s="17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0" customHeight="1">
      <c r="A809" s="17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0" customHeight="1">
      <c r="A810" s="17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0" customHeight="1">
      <c r="A811" s="17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0" customHeight="1">
      <c r="A812" s="17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0" customHeight="1">
      <c r="A813" s="17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0" customHeight="1">
      <c r="A814" s="17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0" customHeight="1">
      <c r="A815" s="17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0" customHeight="1">
      <c r="A816" s="17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0" customHeight="1">
      <c r="A817" s="17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0" customHeight="1">
      <c r="A818" s="17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0" customHeight="1">
      <c r="A819" s="17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0" customHeight="1">
      <c r="A820" s="17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0" customHeight="1">
      <c r="A821" s="17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0" customHeight="1">
      <c r="A822" s="17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0" customHeight="1">
      <c r="A823" s="17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0" customHeight="1">
      <c r="A824" s="17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0" customHeight="1">
      <c r="A825" s="17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0" customHeight="1">
      <c r="A826" s="17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0" customHeight="1">
      <c r="A827" s="17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0" customHeight="1">
      <c r="A828" s="17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0" customHeight="1">
      <c r="A829" s="17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0" customHeight="1">
      <c r="A830" s="17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0" customHeight="1">
      <c r="A831" s="17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0" customHeight="1">
      <c r="A832" s="17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0" customHeight="1">
      <c r="A833" s="17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0" customHeight="1">
      <c r="A834" s="17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0" customHeight="1">
      <c r="A835" s="17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0" customHeight="1">
      <c r="A836" s="17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0" customHeight="1">
      <c r="A837" s="17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0" customHeight="1">
      <c r="A838" s="17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0" customHeight="1">
      <c r="A839" s="17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0" customHeight="1">
      <c r="A840" s="17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0" customHeight="1">
      <c r="A841" s="17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0" customHeight="1">
      <c r="A842" s="17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0" customHeight="1">
      <c r="A843" s="17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0" customHeight="1">
      <c r="A844" s="17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0" customHeight="1">
      <c r="A845" s="17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0" customHeight="1">
      <c r="A846" s="17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0" customHeight="1">
      <c r="A847" s="17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0" customHeight="1">
      <c r="A848" s="17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0" customHeight="1">
      <c r="A849" s="17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0" customHeight="1">
      <c r="A850" s="17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0" customHeight="1">
      <c r="A851" s="17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0" customHeight="1">
      <c r="A852" s="17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0" customHeight="1">
      <c r="A853" s="17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0" customHeight="1">
      <c r="A854" s="17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0" customHeight="1">
      <c r="A855" s="17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0" customHeight="1">
      <c r="A856" s="17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0" customHeight="1">
      <c r="A857" s="17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0" customHeight="1">
      <c r="A858" s="17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0" customHeight="1">
      <c r="A859" s="17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0" customHeight="1">
      <c r="A860" s="17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0" customHeight="1">
      <c r="A861" s="17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0" customHeight="1">
      <c r="A862" s="17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0" customHeight="1">
      <c r="A863" s="17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0" customHeight="1">
      <c r="A864" s="17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0" customHeight="1">
      <c r="A865" s="17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0" customHeight="1">
      <c r="A866" s="17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0" customHeight="1">
      <c r="A867" s="17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0" customHeight="1">
      <c r="A868" s="17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0" customHeight="1">
      <c r="A869" s="17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0" customHeight="1">
      <c r="A870" s="17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0" customHeight="1">
      <c r="A871" s="17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0" customHeight="1">
      <c r="A872" s="17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0" customHeight="1">
      <c r="A873" s="17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0" customHeight="1">
      <c r="A874" s="17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0" customHeight="1">
      <c r="A875" s="17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0" customHeight="1">
      <c r="A876" s="17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0" customHeight="1">
      <c r="A877" s="17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0" customHeight="1">
      <c r="A878" s="17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0" customHeight="1">
      <c r="A879" s="17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0" customHeight="1">
      <c r="A880" s="17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0" customHeight="1">
      <c r="A881" s="17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0" customHeight="1">
      <c r="A882" s="17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0" customHeight="1">
      <c r="A883" s="17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0" customHeight="1">
      <c r="A884" s="17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0" customHeight="1">
      <c r="A885" s="17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0" customHeight="1">
      <c r="A886" s="17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0" customHeight="1">
      <c r="A887" s="17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0" customHeight="1">
      <c r="A888" s="17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0" customHeight="1">
      <c r="A889" s="17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0" customHeight="1">
      <c r="A890" s="17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0" customHeight="1">
      <c r="A891" s="17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0" customHeight="1">
      <c r="A892" s="17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0" customHeight="1">
      <c r="A893" s="17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0" customHeight="1">
      <c r="A894" s="17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0" customHeight="1">
      <c r="A895" s="17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0" customHeight="1">
      <c r="A896" s="17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0" customHeight="1">
      <c r="A897" s="17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0" customHeight="1">
      <c r="A898" s="17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0" customHeight="1">
      <c r="A899" s="17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0" customHeight="1">
      <c r="A900" s="17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0" customHeight="1">
      <c r="A901" s="17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0" customHeight="1">
      <c r="A902" s="17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0" customHeight="1">
      <c r="A903" s="17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0" customHeight="1">
      <c r="A904" s="17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0" customHeight="1">
      <c r="A905" s="17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0" customHeight="1">
      <c r="A906" s="17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0" customHeight="1">
      <c r="A907" s="17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0" customHeight="1">
      <c r="A908" s="17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0" customHeight="1">
      <c r="A909" s="17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0" customHeight="1">
      <c r="A910" s="17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0" customHeight="1">
      <c r="A911" s="17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0" customHeight="1">
      <c r="A912" s="17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0" customHeight="1">
      <c r="A913" s="17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0" customHeight="1">
      <c r="A914" s="17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0" customHeight="1">
      <c r="A915" s="17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0" customHeight="1">
      <c r="A916" s="17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0" customHeight="1">
      <c r="A917" s="17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0" customHeight="1">
      <c r="A918" s="17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0" customHeight="1">
      <c r="A919" s="17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0" customHeight="1">
      <c r="A920" s="17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0" customHeight="1">
      <c r="A921" s="17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0" customHeight="1">
      <c r="A922" s="17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0" customHeight="1">
      <c r="A923" s="17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0" customHeight="1">
      <c r="A924" s="17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0" customHeight="1">
      <c r="A925" s="17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0" customHeight="1">
      <c r="A926" s="17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0" customHeight="1">
      <c r="A927" s="17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0" customHeight="1">
      <c r="A928" s="17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0" customHeight="1">
      <c r="A929" s="17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0" customHeight="1">
      <c r="A930" s="17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0" customHeight="1">
      <c r="A931" s="17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0" customHeight="1">
      <c r="A932" s="17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0" customHeight="1">
      <c r="A933" s="17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0" customHeight="1">
      <c r="A934" s="17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0" customHeight="1">
      <c r="A935" s="17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0" customHeight="1">
      <c r="A936" s="17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0" customHeight="1">
      <c r="A937" s="17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0" customHeight="1">
      <c r="A938" s="17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0" customHeight="1">
      <c r="A939" s="17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0" customHeight="1">
      <c r="A940" s="17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0" customHeight="1">
      <c r="A941" s="17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0" customHeight="1">
      <c r="A942" s="17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0" customHeight="1">
      <c r="A943" s="17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0" customHeight="1">
      <c r="A944" s="17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0" customHeight="1">
      <c r="A945" s="17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0" customHeight="1">
      <c r="A946" s="17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0" customHeight="1">
      <c r="A947" s="17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0" customHeight="1">
      <c r="A948" s="17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0" customHeight="1">
      <c r="A949" s="17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0" customHeight="1">
      <c r="A950" s="17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0" customHeight="1">
      <c r="A951" s="17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0" customHeight="1">
      <c r="A952" s="17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0" customHeight="1">
      <c r="A953" s="17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0" customHeight="1">
      <c r="A954" s="17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0" customHeight="1">
      <c r="A955" s="17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0" customHeight="1">
      <c r="A956" s="17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0" customHeight="1">
      <c r="A957" s="17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0" customHeight="1">
      <c r="A958" s="17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0" customHeight="1">
      <c r="A959" s="17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0" customHeight="1">
      <c r="A960" s="17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0" customHeight="1">
      <c r="A961" s="17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0" customHeight="1">
      <c r="A962" s="17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0" customHeight="1">
      <c r="A963" s="17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0" customHeight="1">
      <c r="A964" s="17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0" customHeight="1">
      <c r="A965" s="17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0" customHeight="1">
      <c r="A966" s="17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0" customHeight="1">
      <c r="A967" s="17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0" customHeight="1">
      <c r="A968" s="17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0" customHeight="1">
      <c r="A969" s="17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0" customHeight="1">
      <c r="A970" s="17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0" customHeight="1">
      <c r="A971" s="17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0" customHeight="1">
      <c r="A972" s="17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0" customHeight="1">
      <c r="A973" s="17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0" customHeight="1">
      <c r="A974" s="17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0" customHeight="1">
      <c r="A975" s="17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0" customHeight="1">
      <c r="A976" s="17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0" customHeight="1">
      <c r="A977" s="17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0" customHeight="1">
      <c r="A978" s="17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0" customHeight="1">
      <c r="A979" s="17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0" customHeight="1">
      <c r="A980" s="17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0" customHeight="1">
      <c r="A981" s="17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0" customHeight="1">
      <c r="A982" s="17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0" customHeight="1">
      <c r="A983" s="17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0" customHeight="1">
      <c r="A984" s="17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0" customHeight="1">
      <c r="A985" s="17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0" customHeight="1">
      <c r="A986" s="17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0" customHeight="1">
      <c r="A987" s="17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0" customHeight="1">
      <c r="A988" s="17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0" customHeight="1">
      <c r="A989" s="17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0" customHeight="1">
      <c r="A990" s="17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0" customHeight="1">
      <c r="A991" s="17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0" customHeight="1">
      <c r="A992" s="17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0" customHeight="1">
      <c r="A993" s="17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0" customHeight="1">
      <c r="A994" s="17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0" customHeight="1">
      <c r="A995" s="17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0" customHeight="1">
      <c r="A996" s="17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0" customHeight="1">
      <c r="A997" s="17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0" customHeight="1">
      <c r="A998" s="17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0" customHeight="1">
      <c r="A999" s="17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0" customHeight="1">
      <c r="A1000" s="17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0" customHeight="1">
      <c r="A1001" s="17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8.38"/>
    <col customWidth="1" min="3" max="7" width="20.88"/>
    <col customWidth="1" min="8" max="8" width="18.63"/>
    <col customWidth="1" min="9" max="9" width="16.63"/>
    <col customWidth="1" min="10" max="26" width="8.63"/>
  </cols>
  <sheetData>
    <row r="1" ht="14.25" customHeight="1"/>
    <row r="2" ht="14.25" customHeight="1"/>
    <row r="3" ht="14.25" customHeight="1">
      <c r="A3" s="53"/>
      <c r="B3" s="54" t="s">
        <v>104</v>
      </c>
      <c r="C3" s="54"/>
      <c r="D3" s="54"/>
      <c r="E3" s="54"/>
      <c r="F3" s="54"/>
      <c r="G3" s="54"/>
      <c r="H3" s="55"/>
    </row>
    <row r="4" ht="14.25" customHeight="1">
      <c r="A4" s="56"/>
      <c r="B4" s="57"/>
      <c r="C4" s="57" t="s">
        <v>31</v>
      </c>
      <c r="D4" s="57" t="s">
        <v>32</v>
      </c>
      <c r="E4" s="57" t="s">
        <v>33</v>
      </c>
      <c r="F4" s="57" t="s">
        <v>34</v>
      </c>
      <c r="G4" s="57" t="s">
        <v>35</v>
      </c>
      <c r="H4" s="58" t="s">
        <v>36</v>
      </c>
    </row>
    <row r="5" ht="14.25" customHeight="1">
      <c r="A5" s="31"/>
      <c r="B5" s="31"/>
      <c r="C5" s="31"/>
      <c r="D5" s="31"/>
      <c r="E5" s="31"/>
      <c r="F5" s="31"/>
      <c r="G5" s="31"/>
      <c r="H5" s="31"/>
    </row>
    <row r="6" ht="14.25" customHeight="1">
      <c r="A6" s="31"/>
      <c r="B6" s="37"/>
      <c r="C6" s="37"/>
      <c r="D6" s="37"/>
      <c r="E6" s="37"/>
      <c r="F6" s="37"/>
      <c r="G6" s="37"/>
      <c r="H6" s="37"/>
    </row>
    <row r="7" ht="14.25" customHeight="1">
      <c r="A7" s="27" t="s">
        <v>105</v>
      </c>
      <c r="B7" s="40"/>
      <c r="C7" s="40">
        <f>'FE Assumptions'!B8</f>
        <v>263922.25</v>
      </c>
      <c r="D7" s="40">
        <f>'OM Capital Expenditures'!E49</f>
        <v>8292.199394</v>
      </c>
      <c r="E7" s="40">
        <f>'OM Capital Expenditures'!F49</f>
        <v>15013.68626</v>
      </c>
      <c r="F7" s="40">
        <f>'OM Capital Expenditures'!G49</f>
        <v>7646.578752</v>
      </c>
      <c r="G7" s="40">
        <f>'OM Capital Expenditures'!H49</f>
        <v>13307.3889</v>
      </c>
      <c r="H7" s="40">
        <f>'OM Capital Expenditures'!I49</f>
        <v>15393.66159</v>
      </c>
    </row>
    <row r="8" ht="14.25" customHeight="1">
      <c r="A8" s="27"/>
      <c r="B8" s="40"/>
      <c r="C8" s="40"/>
      <c r="D8" s="40"/>
      <c r="E8" s="40"/>
      <c r="F8" s="40"/>
      <c r="G8" s="40"/>
      <c r="H8" s="40"/>
    </row>
    <row r="9" ht="14.25" customHeight="1">
      <c r="A9" s="27" t="s">
        <v>106</v>
      </c>
      <c r="B9" s="40"/>
      <c r="C9" s="40">
        <f>'FE Assumptions'!B11</f>
        <v>0</v>
      </c>
      <c r="D9" s="59">
        <f>'FE Assumptions'!$B$71</f>
        <v>0.05</v>
      </c>
      <c r="E9" s="59">
        <f>'FE Assumptions'!$B$71</f>
        <v>0.05</v>
      </c>
      <c r="F9" s="59">
        <f>'FE Assumptions'!$B$71</f>
        <v>0.05</v>
      </c>
      <c r="G9" s="59">
        <f>'FE Assumptions'!$B$71</f>
        <v>0.05</v>
      </c>
      <c r="H9" s="59">
        <f>'FE Assumptions'!$B$71</f>
        <v>0.05</v>
      </c>
    </row>
    <row r="10" ht="14.25" customHeight="1">
      <c r="A10" s="27" t="s">
        <v>107</v>
      </c>
      <c r="B10" s="37"/>
      <c r="C10" s="37"/>
      <c r="D10" s="60">
        <v>45.0</v>
      </c>
      <c r="E10" s="60">
        <v>45.0</v>
      </c>
      <c r="F10" s="60">
        <v>45.0</v>
      </c>
      <c r="G10" s="60">
        <v>45.0</v>
      </c>
      <c r="H10" s="60">
        <v>45.0</v>
      </c>
    </row>
    <row r="11" ht="14.25" customHeight="1">
      <c r="A11" s="27" t="s">
        <v>108</v>
      </c>
      <c r="B11" s="40"/>
      <c r="C11" s="40"/>
      <c r="D11" s="60">
        <v>30.0</v>
      </c>
      <c r="E11" s="60">
        <v>30.0</v>
      </c>
      <c r="F11" s="60">
        <v>30.0</v>
      </c>
      <c r="G11" s="60">
        <v>30.0</v>
      </c>
      <c r="H11" s="60">
        <v>30.0</v>
      </c>
    </row>
    <row r="12" ht="28.5" customHeight="1">
      <c r="A12" s="45" t="s">
        <v>109</v>
      </c>
      <c r="B12" s="40"/>
      <c r="C12" s="40">
        <f>'FE Assumptions'!B11+'FE Assumptions'!B12+'FE Assumptions'!B13</f>
        <v>32663.33377</v>
      </c>
      <c r="D12" s="60">
        <v>45.0</v>
      </c>
      <c r="E12" s="60">
        <v>44.0</v>
      </c>
      <c r="F12" s="60">
        <v>44.0</v>
      </c>
      <c r="G12" s="60">
        <v>43.0</v>
      </c>
      <c r="H12" s="60">
        <v>41.0</v>
      </c>
    </row>
    <row r="13" ht="14.25" customHeight="1">
      <c r="A13" s="45"/>
      <c r="B13" s="27"/>
      <c r="C13" s="40"/>
      <c r="D13" s="40"/>
      <c r="E13" s="40"/>
      <c r="F13" s="40"/>
      <c r="G13" s="40"/>
      <c r="H13" s="40"/>
    </row>
    <row r="14" ht="14.25" customHeight="1">
      <c r="A14" s="45"/>
      <c r="B14" s="40"/>
      <c r="C14" s="40"/>
      <c r="D14" s="40"/>
      <c r="E14" s="40"/>
      <c r="F14" s="40"/>
      <c r="G14" s="40"/>
      <c r="H14" s="40"/>
    </row>
    <row r="15" ht="14.25" customHeight="1">
      <c r="A15" s="45" t="s">
        <v>110</v>
      </c>
      <c r="B15" s="40"/>
      <c r="C15" s="40"/>
      <c r="D15" s="40">
        <f>'FE Assumptions'!C28*'FE Assumptions'!C35</f>
        <v>1629067.135</v>
      </c>
      <c r="E15" s="40">
        <f>'FE Assumptions'!D28*'FE Assumptions'!D35</f>
        <v>2758562.246</v>
      </c>
      <c r="F15" s="40">
        <f>'FE Assumptions'!E28*'FE Assumptions'!E35</f>
        <v>3503176.678</v>
      </c>
      <c r="G15" s="40">
        <f>'FE Assumptions'!F28*'FE Assumptions'!F35</f>
        <v>5040746.574</v>
      </c>
      <c r="H15" s="40">
        <f>'FE Assumptions'!G28*'FE Assumptions'!G35</f>
        <v>7386204.068</v>
      </c>
    </row>
    <row r="16" ht="14.25" customHeight="1">
      <c r="A16" s="45" t="s">
        <v>111</v>
      </c>
      <c r="B16" s="40"/>
      <c r="C16" s="40"/>
      <c r="D16" s="40">
        <f>'FE Assumptions'!C40</f>
        <v>488322.4247</v>
      </c>
      <c r="E16" s="40">
        <f>'FE Assumptions'!D40</f>
        <v>853775.4968</v>
      </c>
      <c r="F16" s="40">
        <f>'FE Assumptions'!E40</f>
        <v>1154719.793</v>
      </c>
      <c r="G16" s="40">
        <f>'FE Assumptions'!F40</f>
        <v>1643029.863</v>
      </c>
      <c r="H16" s="40">
        <f>'FE Assumptions'!G40</f>
        <v>2442660.554</v>
      </c>
    </row>
    <row r="17" ht="14.25" customHeight="1">
      <c r="A17" s="45" t="s">
        <v>112</v>
      </c>
      <c r="B17" s="40"/>
      <c r="C17" s="40"/>
      <c r="D17" s="40">
        <f>'FE Assumptions'!C41</f>
        <v>192923.9051</v>
      </c>
      <c r="E17" s="40">
        <f>'FE Assumptions'!D41</f>
        <v>248628.1429</v>
      </c>
      <c r="F17" s="40">
        <f>'FE Assumptions'!E41</f>
        <v>290008.7383</v>
      </c>
      <c r="G17" s="40">
        <f>'FE Assumptions'!F41</f>
        <v>376145.8587</v>
      </c>
      <c r="H17" s="40">
        <f>'FE Assumptions'!G41</f>
        <v>501523.0888</v>
      </c>
    </row>
    <row r="18" ht="14.25" customHeight="1">
      <c r="A18" s="40" t="s">
        <v>113</v>
      </c>
      <c r="B18" s="40"/>
      <c r="C18" s="40">
        <f>'FE Assumptions'!B19</f>
        <v>137604.3382</v>
      </c>
      <c r="D18" s="37"/>
      <c r="E18" s="37"/>
      <c r="F18" s="37"/>
      <c r="G18" s="37"/>
      <c r="H18" s="37"/>
    </row>
    <row r="19" ht="14.25" customHeight="1">
      <c r="A19" s="40" t="s">
        <v>114</v>
      </c>
      <c r="B19" s="40"/>
      <c r="C19" s="40"/>
      <c r="D19" s="40">
        <f>'FE Assumptions'!C47</f>
        <v>628381.3427</v>
      </c>
      <c r="E19" s="40">
        <f>'FE Assumptions'!D47</f>
        <v>668845.2449</v>
      </c>
      <c r="F19" s="40">
        <f>'FE Assumptions'!E47</f>
        <v>849961.5203</v>
      </c>
      <c r="G19" s="40">
        <f>'FE Assumptions'!F47</f>
        <v>1026543.684</v>
      </c>
      <c r="H19" s="40">
        <f>'FE Assumptions'!G47</f>
        <v>1381304.528</v>
      </c>
    </row>
    <row r="20" ht="14.25" customHeight="1">
      <c r="A20" s="40" t="s">
        <v>115</v>
      </c>
      <c r="B20" s="40"/>
      <c r="C20" s="40"/>
      <c r="D20" s="40">
        <f>'FE Assumptions'!C50</f>
        <v>34683.4</v>
      </c>
      <c r="E20" s="40">
        <f>'FE Assumptions'!D50</f>
        <v>35453.77</v>
      </c>
      <c r="F20" s="40">
        <f>'FE Assumptions'!E50</f>
        <v>37881.0385</v>
      </c>
      <c r="G20" s="40">
        <f>'FE Assumptions'!F50</f>
        <v>46926.76143</v>
      </c>
      <c r="H20" s="40">
        <f>'FE Assumptions'!G50</f>
        <v>49966.0741</v>
      </c>
    </row>
    <row r="21" ht="14.25" customHeight="1">
      <c r="A21" s="40" t="s">
        <v>116</v>
      </c>
      <c r="B21" s="40"/>
      <c r="C21" s="37"/>
      <c r="D21" s="40">
        <f>'FE Assumptions'!C48</f>
        <v>268280.3333</v>
      </c>
      <c r="E21" s="40">
        <f>'FE Assumptions'!D48</f>
        <v>344232.7619</v>
      </c>
      <c r="F21" s="40">
        <f>'FE Assumptions'!E48</f>
        <v>396844.4286</v>
      </c>
      <c r="G21" s="40">
        <f>'FE Assumptions'!F48</f>
        <v>503401.3333</v>
      </c>
      <c r="H21" s="40">
        <f>'FE Assumptions'!G48</f>
        <v>631633</v>
      </c>
    </row>
    <row r="22" ht="14.25" customHeight="1">
      <c r="A22" s="40" t="s">
        <v>117</v>
      </c>
      <c r="B22" s="40"/>
      <c r="C22" s="61">
        <f>C18+C12+C7</f>
        <v>434189.922</v>
      </c>
      <c r="D22" s="62">
        <v>0.1</v>
      </c>
      <c r="E22" s="62">
        <f t="shared" ref="E22:H22" si="1">D22</f>
        <v>0.1</v>
      </c>
      <c r="F22" s="62">
        <f t="shared" si="1"/>
        <v>0.1</v>
      </c>
      <c r="G22" s="62">
        <f t="shared" si="1"/>
        <v>0.1</v>
      </c>
      <c r="H22" s="62">
        <f t="shared" si="1"/>
        <v>0.1</v>
      </c>
    </row>
    <row r="23" ht="14.25" customHeight="1">
      <c r="A23" s="40" t="s">
        <v>118</v>
      </c>
      <c r="B23" s="40"/>
      <c r="C23" s="40"/>
      <c r="D23" s="40">
        <f>'OM Capital Expenditures'!E72</f>
        <v>12180.85138</v>
      </c>
      <c r="E23" s="40">
        <f>'OM Capital Expenditures'!F72</f>
        <v>14263.03025</v>
      </c>
      <c r="F23" s="40">
        <f>'OM Capital Expenditures'!G72</f>
        <v>18180.89163</v>
      </c>
      <c r="G23" s="40">
        <f>'OM Capital Expenditures'!H72</f>
        <v>20182.20571</v>
      </c>
      <c r="H23" s="40">
        <f>'OM Capital Expenditures'!I72</f>
        <v>23109.54849</v>
      </c>
    </row>
    <row r="24" ht="14.25" customHeight="1">
      <c r="A24" s="40" t="s">
        <v>119</v>
      </c>
      <c r="B24" s="40"/>
      <c r="C24" s="62">
        <f>'FE Assumptions'!$B$70</f>
        <v>0.27</v>
      </c>
      <c r="D24" s="62">
        <f>'FE Assumptions'!$B$70</f>
        <v>0.27</v>
      </c>
      <c r="E24" s="62">
        <f>'FE Assumptions'!$B$70</f>
        <v>0.27</v>
      </c>
      <c r="F24" s="62">
        <f>'FE Assumptions'!$B$70</f>
        <v>0.27</v>
      </c>
      <c r="G24" s="62">
        <f>'FE Assumptions'!$B$70</f>
        <v>0.27</v>
      </c>
      <c r="H24" s="62">
        <f>'FE Assumptions'!$B$70</f>
        <v>0.27</v>
      </c>
    </row>
    <row r="25" ht="14.25" customHeight="1">
      <c r="A25" s="40"/>
      <c r="B25" s="40"/>
      <c r="C25" s="40"/>
      <c r="D25" s="40"/>
      <c r="E25" s="40"/>
      <c r="F25" s="40"/>
      <c r="G25" s="40"/>
      <c r="H25" s="40"/>
    </row>
    <row r="26" ht="14.25" customHeight="1">
      <c r="A26" s="37" t="s">
        <v>120</v>
      </c>
      <c r="B26" s="37"/>
      <c r="C26" s="62">
        <f>'FE Assumptions'!B67</f>
        <v>0.2090185</v>
      </c>
      <c r="D26" s="37"/>
      <c r="E26" s="37"/>
      <c r="F26" s="37"/>
      <c r="G26" s="37"/>
      <c r="H26" s="37"/>
    </row>
    <row r="27" ht="14.25" customHeight="1">
      <c r="A27" s="37"/>
      <c r="B27" s="37"/>
      <c r="C27" s="37"/>
      <c r="D27" s="37"/>
      <c r="E27" s="37"/>
      <c r="F27" s="37"/>
      <c r="G27" s="37"/>
      <c r="H27" s="37"/>
    </row>
    <row r="28" ht="14.25" customHeight="1">
      <c r="A28" s="37" t="s">
        <v>121</v>
      </c>
      <c r="B28" s="37"/>
      <c r="C28" s="37"/>
      <c r="D28" s="37"/>
      <c r="E28" s="37"/>
      <c r="F28" s="37"/>
      <c r="G28" s="37"/>
      <c r="H28" s="37"/>
    </row>
    <row r="29" ht="14.25" customHeight="1">
      <c r="A29" s="40"/>
      <c r="B29" s="37" t="s">
        <v>122</v>
      </c>
      <c r="C29" s="59">
        <v>-0.2</v>
      </c>
      <c r="D29" s="59"/>
      <c r="E29" s="59"/>
      <c r="F29" s="59"/>
      <c r="G29" s="59"/>
      <c r="H29" s="59"/>
    </row>
    <row r="30" ht="14.25" customHeight="1">
      <c r="A30" s="40"/>
      <c r="B30" s="37"/>
      <c r="C30" s="59"/>
      <c r="D30" s="59"/>
      <c r="E30" s="59"/>
      <c r="F30" s="59"/>
      <c r="G30" s="59"/>
      <c r="H30" s="59"/>
    </row>
    <row r="31" ht="14.25" customHeight="1">
      <c r="A31" s="40"/>
      <c r="B31" s="37"/>
      <c r="C31" s="59"/>
      <c r="D31" s="59"/>
      <c r="E31" s="59"/>
      <c r="F31" s="59"/>
      <c r="G31" s="59"/>
      <c r="H31" s="59"/>
    </row>
    <row r="32" ht="14.25" customHeight="1">
      <c r="A32" s="40"/>
      <c r="B32" s="37"/>
      <c r="C32" s="59"/>
      <c r="D32" s="59"/>
      <c r="E32" s="59"/>
      <c r="F32" s="59"/>
      <c r="G32" s="59"/>
      <c r="H32" s="59"/>
    </row>
    <row r="33" ht="14.25" customHeight="1">
      <c r="A33" s="40"/>
      <c r="B33" s="37"/>
      <c r="C33" s="59"/>
      <c r="D33" s="59"/>
      <c r="E33" s="59"/>
      <c r="F33" s="59"/>
      <c r="G33" s="59"/>
      <c r="H33" s="59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D39" s="63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6.0"/>
    <col customWidth="1" min="2" max="2" width="20.38"/>
    <col customWidth="1" min="3" max="3" width="22.25"/>
    <col customWidth="1" min="4" max="4" width="22.5"/>
    <col customWidth="1" min="5" max="6" width="21.75"/>
    <col customWidth="1" min="7" max="7" width="21.88"/>
    <col customWidth="1" min="8" max="8" width="13.75"/>
    <col customWidth="1" min="9" max="9" width="21.0"/>
    <col customWidth="1" min="10" max="26" width="8.38"/>
  </cols>
  <sheetData>
    <row r="1" ht="12.0" customHeight="1">
      <c r="A1" s="15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53" t="s">
        <v>123</v>
      </c>
      <c r="B2" s="54"/>
      <c r="C2" s="54"/>
      <c r="D2" s="54"/>
      <c r="E2" s="54"/>
      <c r="F2" s="54"/>
      <c r="G2" s="54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56" t="s">
        <v>124</v>
      </c>
      <c r="B3" s="57" t="s">
        <v>31</v>
      </c>
      <c r="C3" s="57" t="s">
        <v>32</v>
      </c>
      <c r="D3" s="57" t="s">
        <v>33</v>
      </c>
      <c r="E3" s="57" t="s">
        <v>34</v>
      </c>
      <c r="F3" s="57" t="s">
        <v>35</v>
      </c>
      <c r="G3" s="57" t="s">
        <v>36</v>
      </c>
      <c r="H3" s="10"/>
      <c r="I3" s="64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31"/>
      <c r="B4" s="31"/>
      <c r="C4" s="65"/>
      <c r="D4" s="27"/>
      <c r="E4" s="27"/>
      <c r="F4" s="27"/>
      <c r="G4" s="27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66" t="s">
        <v>125</v>
      </c>
      <c r="B5" s="31"/>
      <c r="C5" s="67">
        <f>'FE Assumptions'!C25*'FE Assumptions'!C32</f>
        <v>236096.6862</v>
      </c>
      <c r="D5" s="67">
        <f>'FE Assumptions'!D25*'FE Assumptions'!D32</f>
        <v>835927.9533</v>
      </c>
      <c r="E5" s="67">
        <f>'FE Assumptions'!E25*'FE Assumptions'!E32</f>
        <v>1346081.336</v>
      </c>
      <c r="F5" s="67">
        <f>'FE Assumptions'!F25*'FE Assumptions'!F32</f>
        <v>1653788.246</v>
      </c>
      <c r="G5" s="67">
        <f>'FE Assumptions'!G25*'FE Assumptions'!G32</f>
        <v>2278754.855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0" customHeight="1">
      <c r="A6" s="66" t="s">
        <v>126</v>
      </c>
      <c r="B6" s="31"/>
      <c r="C6" s="67">
        <f>'FE Assumptions'!C24*'FE Assumptions'!C31</f>
        <v>1274922.106</v>
      </c>
      <c r="D6" s="67">
        <f>'FE Assumptions'!D24*'FE Assumptions'!D31</f>
        <v>1805604.379</v>
      </c>
      <c r="E6" s="67">
        <f>'FE Assumptions'!E24*'FE Assumptions'!E31</f>
        <v>1817209.804</v>
      </c>
      <c r="F6" s="67">
        <f>'FE Assumptions'!F24*'FE Assumptions'!F31</f>
        <v>2232614.132</v>
      </c>
      <c r="G6" s="67">
        <f>'FE Assumptions'!G24*'FE Assumptions'!G31</f>
        <v>2734505.825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0" customHeight="1">
      <c r="A7" s="66" t="s">
        <v>127</v>
      </c>
      <c r="B7" s="31"/>
      <c r="C7" s="67">
        <f>'FE Assumptions'!C26*'FE Assumptions'!C33</f>
        <v>0</v>
      </c>
      <c r="D7" s="67">
        <f>'FE Assumptions'!D26*'FE Assumptions'!D33</f>
        <v>0</v>
      </c>
      <c r="E7" s="67">
        <f>'FE Assumptions'!E26*'FE Assumptions'!E33</f>
        <v>272581.4706</v>
      </c>
      <c r="F7" s="67">
        <f>'FE Assumptions'!F26*'FE Assumptions'!F33</f>
        <v>669784.2396</v>
      </c>
      <c r="G7" s="67">
        <f>'FE Assumptions'!G26*'FE Assumptions'!G33</f>
        <v>1640703.495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0" customHeight="1">
      <c r="A8" s="66" t="s">
        <v>128</v>
      </c>
      <c r="B8" s="31"/>
      <c r="C8" s="67">
        <f>'FE Assumptions'!C27*'FE Assumptions'!C34</f>
        <v>0</v>
      </c>
      <c r="D8" s="67">
        <f>'FE Assumptions'!D27*'FE Assumptions'!D34</f>
        <v>0</v>
      </c>
      <c r="E8" s="67">
        <f>'FE Assumptions'!E27*'FE Assumptions'!E34</f>
        <v>0</v>
      </c>
      <c r="F8" s="67">
        <f>'FE Assumptions'!F27*'FE Assumptions'!F34</f>
        <v>401870.5438</v>
      </c>
      <c r="G8" s="67">
        <f>'FE Assumptions'!G27*'FE Assumptions'!G34</f>
        <v>656281.3981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0" customHeight="1">
      <c r="A9" s="68" t="s">
        <v>129</v>
      </c>
      <c r="B9" s="37"/>
      <c r="C9" s="37">
        <f>'MK Sales Projections'!C16*$I$10</f>
        <v>1629067.135</v>
      </c>
      <c r="D9" s="37">
        <f>'MK Sales Projections'!D16*$I$10</f>
        <v>2758562.246</v>
      </c>
      <c r="E9" s="37">
        <f>'MK Sales Projections'!E16*$I$10</f>
        <v>3503176.678</v>
      </c>
      <c r="F9" s="37">
        <f>'MK Sales Projections'!F16*$I$10</f>
        <v>5040746.574</v>
      </c>
      <c r="G9" s="37">
        <f>'MK Sales Projections'!G16*$I$10</f>
        <v>7386204.068</v>
      </c>
      <c r="H9" s="10"/>
      <c r="I9" s="69" t="s">
        <v>130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0" customHeight="1">
      <c r="A10" s="27" t="s">
        <v>131</v>
      </c>
      <c r="B10" s="40"/>
      <c r="C10" s="40">
        <f>('OM Direct Materials &amp; Direct La'!$F$33)*'FE Assumptions'!C28</f>
        <v>315897.3662</v>
      </c>
      <c r="D10" s="40">
        <f>'OM Direct Materials &amp; Direct La'!F51*'FE Assumptions'!D28</f>
        <v>543257.6351</v>
      </c>
      <c r="E10" s="40">
        <f>'OM Direct Materials &amp; Direct La'!F68*'FE Assumptions'!E28</f>
        <v>707558.0396</v>
      </c>
      <c r="F10" s="40">
        <f>'OM Direct Materials &amp; Direct La'!F85*'FE Assumptions'!F28</f>
        <v>1066870.61</v>
      </c>
      <c r="G10" s="40">
        <f>'OM Direct Materials &amp; Direct La'!F102*'FE Assumptions'!G28</f>
        <v>1597081.617</v>
      </c>
      <c r="H10" s="10"/>
      <c r="I10" s="7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0" customHeight="1">
      <c r="A11" s="71" t="s">
        <v>132</v>
      </c>
      <c r="B11" s="40"/>
      <c r="C11" s="72">
        <f>C10/'FE Assumptions'!C28</f>
        <v>6.69</v>
      </c>
      <c r="D11" s="72">
        <f>D10/'FE Assumptions'!D28</f>
        <v>6.69</v>
      </c>
      <c r="E11" s="72">
        <f>E10/'FE Assumptions'!E28</f>
        <v>6.69</v>
      </c>
      <c r="F11" s="72">
        <f>F10/'FE Assumptions'!F28</f>
        <v>6.69</v>
      </c>
      <c r="G11" s="72">
        <f>G10/'FE Assumptions'!G28</f>
        <v>6.69</v>
      </c>
      <c r="H11" s="10"/>
      <c r="I11" s="73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0" customHeight="1">
      <c r="A12" s="27" t="s">
        <v>133</v>
      </c>
      <c r="B12" s="40"/>
      <c r="C12" s="72">
        <f>C13*'FE Assumptions'!C28</f>
        <v>133580.408</v>
      </c>
      <c r="D12" s="72">
        <f>D13*'FE Assumptions'!D28</f>
        <v>240778.6854</v>
      </c>
      <c r="E12" s="72">
        <f>E13*'FE Assumptions'!E28</f>
        <v>354288.6371</v>
      </c>
      <c r="F12" s="72">
        <f>F13*'FE Assumptions'!F28</f>
        <v>437900.7555</v>
      </c>
      <c r="G12" s="72">
        <f>G13*'FE Assumptions'!G28</f>
        <v>638970.1857</v>
      </c>
      <c r="H12" s="10"/>
      <c r="I12" s="73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0" customHeight="1">
      <c r="A13" s="71" t="s">
        <v>132</v>
      </c>
      <c r="B13" s="40"/>
      <c r="C13" s="72">
        <f>'OM Direct Materials &amp; Direct La'!D14</f>
        <v>2.828934411</v>
      </c>
      <c r="D13" s="72">
        <f>'OM Direct Materials &amp; Direct La'!E14</f>
        <v>2.96509299</v>
      </c>
      <c r="E13" s="72">
        <f>'OM Direct Materials &amp; Direct La'!F14</f>
        <v>3.34981846</v>
      </c>
      <c r="F13" s="72">
        <f>'OM Direct Materials &amp; Direct La'!G14</f>
        <v>2.745933786</v>
      </c>
      <c r="G13" s="72">
        <f>'OM Direct Materials &amp; Direct La'!H14</f>
        <v>2.676576136</v>
      </c>
      <c r="H13" s="10"/>
      <c r="I13" s="73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0" customHeight="1">
      <c r="A14" s="27" t="s">
        <v>134</v>
      </c>
      <c r="B14" s="40"/>
      <c r="C14" s="40">
        <f>C15*'FE Assumptions'!C28</f>
        <v>31589.73662</v>
      </c>
      <c r="D14" s="40">
        <f>D15*'FE Assumptions'!D28</f>
        <v>54325.76351</v>
      </c>
      <c r="E14" s="40">
        <f>E15*'FE Assumptions'!E28</f>
        <v>70755.80396</v>
      </c>
      <c r="F14" s="40">
        <f>F15*'FE Assumptions'!F28</f>
        <v>106687.061</v>
      </c>
      <c r="G14" s="40">
        <f>G15*'FE Assumptions'!G28</f>
        <v>159708.1617</v>
      </c>
      <c r="H14" s="10"/>
      <c r="I14" s="73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0" customHeight="1">
      <c r="A15" s="71" t="s">
        <v>132</v>
      </c>
      <c r="B15" s="40"/>
      <c r="C15" s="72">
        <f>'OM Direct Materials &amp; Direct La'!F34</f>
        <v>0.669</v>
      </c>
      <c r="D15" s="72">
        <f>'OM Direct Materials &amp; Direct La'!F52</f>
        <v>0.669</v>
      </c>
      <c r="E15" s="72">
        <f>'OM Direct Materials &amp; Direct La'!F69</f>
        <v>0.669</v>
      </c>
      <c r="F15" s="72">
        <f>'OM Direct Materials &amp; Direct La'!F86</f>
        <v>0.669</v>
      </c>
      <c r="G15" s="72">
        <f>'OM Direct Materials &amp; Direct La'!F103</f>
        <v>0.669</v>
      </c>
      <c r="H15" s="10"/>
      <c r="I15" s="7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0" customHeight="1">
      <c r="A16" s="27" t="s">
        <v>135</v>
      </c>
      <c r="B16" s="40"/>
      <c r="C16" s="40">
        <f>C17*'FE Assumptions'!C28</f>
        <v>7254.913887</v>
      </c>
      <c r="D16" s="40">
        <f>D17*'FE Assumptions'!D28</f>
        <v>15413.41281</v>
      </c>
      <c r="E16" s="40">
        <f>E17*'FE Assumptions'!E28</f>
        <v>22117.31244</v>
      </c>
      <c r="F16" s="40">
        <f>F17*'FE Assumptions'!F28</f>
        <v>31571.43599</v>
      </c>
      <c r="G16" s="40">
        <f>G17*'FE Assumptions'!G28</f>
        <v>46900.59035</v>
      </c>
      <c r="H16" s="10"/>
      <c r="I16" s="73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0" customHeight="1">
      <c r="A17" s="71" t="s">
        <v>132</v>
      </c>
      <c r="B17" s="40"/>
      <c r="C17" s="72">
        <f>'OM Location Analysis '!C65</f>
        <v>0.1536428571</v>
      </c>
      <c r="D17" s="72">
        <f>'OM Location Analysis '!D65</f>
        <v>0.18981</v>
      </c>
      <c r="E17" s="72">
        <f>'OM Location Analysis '!E65</f>
        <v>0.2091204</v>
      </c>
      <c r="F17" s="72">
        <f>'OM Location Analysis '!F65</f>
        <v>0.197974248</v>
      </c>
      <c r="G17" s="72">
        <f>'OM Location Analysis '!G65</f>
        <v>0.196461437</v>
      </c>
      <c r="H17" s="10"/>
      <c r="I17" s="73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0" customHeight="1">
      <c r="A18" s="27" t="s">
        <v>136</v>
      </c>
      <c r="B18" s="40"/>
      <c r="C18" s="40">
        <f>'Starting Data Set'!D17</f>
        <v>192923.9051</v>
      </c>
      <c r="D18" s="40">
        <f>'Starting Data Set'!E17</f>
        <v>248628.1429</v>
      </c>
      <c r="E18" s="40">
        <f>'Starting Data Set'!F17</f>
        <v>290008.7383</v>
      </c>
      <c r="F18" s="40">
        <f>'Starting Data Set'!G17</f>
        <v>376145.8587</v>
      </c>
      <c r="G18" s="40">
        <f>'Starting Data Set'!H17</f>
        <v>501523.0888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0" customHeight="1">
      <c r="A19" s="71" t="s">
        <v>132</v>
      </c>
      <c r="B19" s="40"/>
      <c r="C19" s="72">
        <f>C18/'FE Assumptions'!C28</f>
        <v>4.085697012</v>
      </c>
      <c r="D19" s="72">
        <f>D18/'FE Assumptions'!D28</f>
        <v>3.061755912</v>
      </c>
      <c r="E19" s="72">
        <f>E18/'FE Assumptions'!E28</f>
        <v>2.742048498</v>
      </c>
      <c r="F19" s="72">
        <f>F18/'FE Assumptions'!F28</f>
        <v>2.358688833</v>
      </c>
      <c r="G19" s="72">
        <f>G18/'FE Assumptions'!G28</f>
        <v>2.100825299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0" customHeight="1">
      <c r="A20" s="68" t="s">
        <v>137</v>
      </c>
      <c r="B20" s="40"/>
      <c r="C20" s="37">
        <f t="shared" ref="C20:G20" si="1">C10+C12+C14+C16+C18</f>
        <v>681246.3298</v>
      </c>
      <c r="D20" s="37">
        <f t="shared" si="1"/>
        <v>1102403.64</v>
      </c>
      <c r="E20" s="37">
        <f t="shared" si="1"/>
        <v>1444728.531</v>
      </c>
      <c r="F20" s="37">
        <f t="shared" si="1"/>
        <v>2019175.721</v>
      </c>
      <c r="G20" s="37">
        <f t="shared" si="1"/>
        <v>2944183.643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0" customHeight="1">
      <c r="A21" s="71" t="s">
        <v>132</v>
      </c>
      <c r="B21" s="40"/>
      <c r="C21" s="40">
        <f>C20/'FE Assumptions'!$C$28</f>
        <v>14.42727428</v>
      </c>
      <c r="D21" s="40">
        <f>D20/'FE Assumptions'!D28</f>
        <v>13.5756589</v>
      </c>
      <c r="E21" s="40">
        <f>E20/'FE Assumptions'!E28</f>
        <v>13.65998736</v>
      </c>
      <c r="F21" s="40">
        <f>F20/'FE Assumptions'!F28</f>
        <v>12.66159687</v>
      </c>
      <c r="G21" s="40">
        <f>G20/'FE Assumptions'!G28</f>
        <v>12.33286287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0" customHeight="1">
      <c r="A22" s="68" t="s">
        <v>138</v>
      </c>
      <c r="B22" s="37"/>
      <c r="C22" s="37">
        <f t="shared" ref="C22:G22" si="2">C9-C20</f>
        <v>947820.8052</v>
      </c>
      <c r="D22" s="37">
        <f t="shared" si="2"/>
        <v>1656158.606</v>
      </c>
      <c r="E22" s="37">
        <f t="shared" si="2"/>
        <v>2058448.146</v>
      </c>
      <c r="F22" s="37">
        <f t="shared" si="2"/>
        <v>3021570.852</v>
      </c>
      <c r="G22" s="37">
        <f t="shared" si="2"/>
        <v>4442020.425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0" customHeight="1">
      <c r="A23" s="71" t="s">
        <v>132</v>
      </c>
      <c r="B23" s="37"/>
      <c r="C23" s="72">
        <f>C22/'FE Assumptions'!C28</f>
        <v>20.07272572</v>
      </c>
      <c r="D23" s="72">
        <f>D22/'FE Assumptions'!D28</f>
        <v>20.39492933</v>
      </c>
      <c r="E23" s="72">
        <f>E22/'FE Assumptions'!E28</f>
        <v>19.46273992</v>
      </c>
      <c r="F23" s="72">
        <f>F22/'FE Assumptions'!F28</f>
        <v>18.94729202</v>
      </c>
      <c r="G23" s="72">
        <f>G22/'FE Assumptions'!G28</f>
        <v>18.60713713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0" customHeight="1">
      <c r="A24" s="27" t="s">
        <v>139</v>
      </c>
      <c r="B24" s="40">
        <f>'Starting Data Set'!C18</f>
        <v>137604.3382</v>
      </c>
      <c r="C24" s="40"/>
      <c r="D24" s="40"/>
      <c r="E24" s="40"/>
      <c r="F24" s="40"/>
      <c r="G24" s="4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0" customHeight="1">
      <c r="A25" s="45" t="s">
        <v>140</v>
      </c>
      <c r="B25" s="40"/>
      <c r="C25" s="40">
        <f>'Starting Data Set'!D19</f>
        <v>628381.3427</v>
      </c>
      <c r="D25" s="40">
        <f>'Starting Data Set'!E19</f>
        <v>668845.2449</v>
      </c>
      <c r="E25" s="40">
        <f>'Starting Data Set'!F19</f>
        <v>849961.5203</v>
      </c>
      <c r="F25" s="40">
        <f>'Starting Data Set'!G19</f>
        <v>1026543.684</v>
      </c>
      <c r="G25" s="40">
        <f>'Starting Data Set'!H19</f>
        <v>1381304.528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</row>
    <row r="26" ht="12.0" customHeight="1">
      <c r="A26" s="75" t="s">
        <v>132</v>
      </c>
      <c r="B26" s="40"/>
      <c r="C26" s="72">
        <f>C25/'FE Assumptions'!C28</f>
        <v>13.30771204</v>
      </c>
      <c r="D26" s="72">
        <f>D25/'FE Assumptions'!D28</f>
        <v>8.236561071</v>
      </c>
      <c r="E26" s="72">
        <f>E25/'FE Assumptions'!E28</f>
        <v>8.036432707</v>
      </c>
      <c r="F26" s="72">
        <f>F25/'FE Assumptions'!F28</f>
        <v>6.437122908</v>
      </c>
      <c r="G26" s="72">
        <f>G25/'FE Assumptions'!G28</f>
        <v>5.786133407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</row>
    <row r="27" ht="12.0" customHeight="1">
      <c r="A27" s="45" t="s">
        <v>141</v>
      </c>
      <c r="B27" s="27"/>
      <c r="C27" s="40">
        <f>'Starting Data Set'!D20</f>
        <v>34683.4</v>
      </c>
      <c r="D27" s="40">
        <f>'Starting Data Set'!E20</f>
        <v>35453.77</v>
      </c>
      <c r="E27" s="40">
        <f>'Starting Data Set'!F20</f>
        <v>37881.0385</v>
      </c>
      <c r="F27" s="40">
        <f>'Starting Data Set'!G20</f>
        <v>46926.76143</v>
      </c>
      <c r="G27" s="40">
        <f>'Starting Data Set'!H20</f>
        <v>49966.0741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ht="12.0" customHeight="1">
      <c r="A28" s="75" t="s">
        <v>132</v>
      </c>
      <c r="B28" s="27"/>
      <c r="C28" s="40">
        <f>C27/'FE Assumptions'!C28</f>
        <v>0.7345168743</v>
      </c>
      <c r="D28" s="40">
        <f>D27/'FE Assumptions'!D28</f>
        <v>0.4365989652</v>
      </c>
      <c r="E28" s="40">
        <f>E27/'FE Assumptions'!E28</f>
        <v>0.3581672929</v>
      </c>
      <c r="F28" s="40">
        <f>F27/'FE Assumptions'!F28</f>
        <v>0.2942625197</v>
      </c>
      <c r="G28" s="40">
        <f>G27/'FE Assumptions'!G28</f>
        <v>0.2093024127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ht="12.0" customHeight="1">
      <c r="A29" s="76" t="s">
        <v>142</v>
      </c>
      <c r="B29" s="31"/>
      <c r="C29" s="37">
        <f t="shared" ref="C29:G29" si="3">C25+C27</f>
        <v>663064.7427</v>
      </c>
      <c r="D29" s="37">
        <f t="shared" si="3"/>
        <v>704299.0149</v>
      </c>
      <c r="E29" s="37">
        <f t="shared" si="3"/>
        <v>887842.5588</v>
      </c>
      <c r="F29" s="37">
        <f t="shared" si="3"/>
        <v>1073470.445</v>
      </c>
      <c r="G29" s="37">
        <f t="shared" si="3"/>
        <v>1431270.603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2.0" customHeight="1">
      <c r="A30" s="75" t="s">
        <v>132</v>
      </c>
      <c r="B30" s="31"/>
      <c r="C30" s="72">
        <f>C29/'FE Assumptions'!C28</f>
        <v>14.04222891</v>
      </c>
      <c r="D30" s="72">
        <f>D29/'FE Assumptions'!D28</f>
        <v>8.673160036</v>
      </c>
      <c r="E30" s="72">
        <f>E29/'FE Assumptions'!E28</f>
        <v>8.3946</v>
      </c>
      <c r="F30" s="72">
        <f>F29/'FE Assumptions'!F28</f>
        <v>6.731385427</v>
      </c>
      <c r="G30" s="72">
        <f>G29/'FE Assumptions'!G28</f>
        <v>5.99543582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2.0" customHeight="1">
      <c r="A31" s="45" t="s">
        <v>143</v>
      </c>
      <c r="B31" s="40"/>
      <c r="C31" s="40">
        <f>'Starting Data Set'!D21</f>
        <v>268280.3333</v>
      </c>
      <c r="D31" s="40">
        <f>'Starting Data Set'!E21</f>
        <v>344232.7619</v>
      </c>
      <c r="E31" s="40">
        <f>'Starting Data Set'!F21</f>
        <v>396844.4286</v>
      </c>
      <c r="F31" s="40">
        <f>'Starting Data Set'!G21</f>
        <v>503401.3333</v>
      </c>
      <c r="G31" s="40">
        <f>'Starting Data Set'!H21</f>
        <v>631633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</row>
    <row r="32" ht="12.0" customHeight="1">
      <c r="A32" s="75" t="s">
        <v>132</v>
      </c>
      <c r="B32" s="40"/>
      <c r="C32" s="72">
        <f>C31/'FE Assumptions'!C28</f>
        <v>5.681577696</v>
      </c>
      <c r="D32" s="72">
        <f>D31/'FE Assumptions'!D28</f>
        <v>4.23908847</v>
      </c>
      <c r="E32" s="72">
        <f>E31/'FE Assumptions'!E28</f>
        <v>3.752185798</v>
      </c>
      <c r="F32" s="72">
        <f>F31/'FE Assumptions'!F28</f>
        <v>3.156666692</v>
      </c>
      <c r="G32" s="72">
        <f>G31/'FE Assumptions'!G28</f>
        <v>2.645841469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</row>
    <row r="33" ht="12.0" customHeight="1">
      <c r="A33" s="45" t="s">
        <v>144</v>
      </c>
      <c r="B33" s="40"/>
      <c r="C33" s="40">
        <f>'Starting Data Set'!D22*'FE Income Statement'!C9</f>
        <v>162906.7135</v>
      </c>
      <c r="D33" s="40">
        <f>'Starting Data Set'!E22*'FE Income Statement'!D9</f>
        <v>275856.2246</v>
      </c>
      <c r="E33" s="40">
        <f>'Starting Data Set'!F22*'FE Income Statement'!E9</f>
        <v>350317.6678</v>
      </c>
      <c r="F33" s="40">
        <f>'Starting Data Set'!G22*'FE Income Statement'!F9</f>
        <v>504074.6574</v>
      </c>
      <c r="G33" s="40">
        <f>'Starting Data Set'!H22*'FE Income Statement'!G9</f>
        <v>738620.4068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ht="12.0" customHeight="1">
      <c r="A34" s="76" t="s">
        <v>145</v>
      </c>
      <c r="B34" s="40"/>
      <c r="C34" s="37">
        <f t="shared" ref="C34:G34" si="4">C31+C33</f>
        <v>431187.0468</v>
      </c>
      <c r="D34" s="37">
        <f t="shared" si="4"/>
        <v>620088.9865</v>
      </c>
      <c r="E34" s="37">
        <f t="shared" si="4"/>
        <v>747162.0963</v>
      </c>
      <c r="F34" s="37">
        <f t="shared" si="4"/>
        <v>1007475.991</v>
      </c>
      <c r="G34" s="37">
        <f t="shared" si="4"/>
        <v>1370253.407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ht="12.0" customHeight="1">
      <c r="A35" s="75" t="s">
        <v>132</v>
      </c>
      <c r="B35" s="40"/>
      <c r="C35" s="72">
        <f>C34/'FE Assumptions'!C28</f>
        <v>9.131577696</v>
      </c>
      <c r="D35" s="72">
        <f>D34/'FE Assumptions'!D28</f>
        <v>7.636147294</v>
      </c>
      <c r="E35" s="72">
        <f>E34/'FE Assumptions'!E28</f>
        <v>7.064458525</v>
      </c>
      <c r="F35" s="72">
        <f>F34/'FE Assumptions'!F28</f>
        <v>6.317555581</v>
      </c>
      <c r="G35" s="72">
        <f>G34/'FE Assumptions'!G28</f>
        <v>5.739841469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ht="12.0" customHeight="1">
      <c r="A36" s="45" t="s">
        <v>146</v>
      </c>
      <c r="B36" s="40"/>
      <c r="C36" s="40">
        <f>'Starting Data Set'!D23</f>
        <v>12180.85138</v>
      </c>
      <c r="D36" s="40">
        <f>'Starting Data Set'!E23</f>
        <v>14263.03025</v>
      </c>
      <c r="E36" s="40">
        <f>'Starting Data Set'!F23</f>
        <v>18180.89163</v>
      </c>
      <c r="F36" s="40">
        <f>'Starting Data Set'!G23</f>
        <v>20182.20571</v>
      </c>
      <c r="G36" s="40">
        <f>'Starting Data Set'!H23</f>
        <v>23109.54849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0" customHeight="1">
      <c r="A37" s="37"/>
      <c r="B37" s="37"/>
      <c r="C37" s="37"/>
      <c r="D37" s="37"/>
      <c r="E37" s="37"/>
      <c r="F37" s="37"/>
      <c r="G37" s="37"/>
      <c r="H37" s="6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0" customHeight="1">
      <c r="A38" s="37" t="s">
        <v>147</v>
      </c>
      <c r="B38" s="37">
        <f>B22-B24</f>
        <v>-137604.3382</v>
      </c>
      <c r="C38" s="37">
        <f t="shared" ref="C38:G38" si="5">C22-C29-C34-C36</f>
        <v>-158611.8357</v>
      </c>
      <c r="D38" s="37">
        <f t="shared" si="5"/>
        <v>317507.5746</v>
      </c>
      <c r="E38" s="37">
        <f t="shared" si="5"/>
        <v>405262.5995</v>
      </c>
      <c r="F38" s="37">
        <f t="shared" si="5"/>
        <v>920442.2107</v>
      </c>
      <c r="G38" s="37">
        <f t="shared" si="5"/>
        <v>1617386.867</v>
      </c>
      <c r="H38" s="7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0" customHeight="1">
      <c r="A39" s="40" t="s">
        <v>148</v>
      </c>
      <c r="B39" s="40">
        <f>IF(B38&gt;0,B38*'Starting Data Set'!C24,0)</f>
        <v>0</v>
      </c>
      <c r="C39" s="40">
        <f>IF(C38&gt;0,C38*'Starting Data Set'!D24,0)</f>
        <v>0</v>
      </c>
      <c r="D39" s="40">
        <f>IF(D38&gt;0,D38*'Starting Data Set'!E24,0)</f>
        <v>85727.04516</v>
      </c>
      <c r="E39" s="40">
        <f>IF(E38&gt;0,E38*'Starting Data Set'!F24,0)</f>
        <v>109420.9019</v>
      </c>
      <c r="F39" s="40">
        <f>IF(F38&gt;0,F38*'Starting Data Set'!G24,0)</f>
        <v>248519.3969</v>
      </c>
      <c r="G39" s="40">
        <f>IF(G38&gt;0,G38*'Starting Data Set'!H24,0)</f>
        <v>436694.4542</v>
      </c>
      <c r="H39" s="10"/>
      <c r="I39" s="52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0" customHeight="1">
      <c r="A40" s="72" t="s">
        <v>132</v>
      </c>
      <c r="B40" s="40"/>
      <c r="C40" s="40">
        <f>C39/'FE Assumptions'!C28</f>
        <v>0</v>
      </c>
      <c r="D40" s="40">
        <f>D39/'FE Assumptions'!D28</f>
        <v>1.055694196</v>
      </c>
      <c r="E40" s="40">
        <f>E39/'FE Assumptions'!E28</f>
        <v>1.034580617</v>
      </c>
      <c r="F40" s="40">
        <f>F39/'FE Assumptions'!F28</f>
        <v>1.558384634</v>
      </c>
      <c r="G40" s="40">
        <f>G39/'FE Assumptions'!G28</f>
        <v>1.829265247</v>
      </c>
      <c r="H40" s="10"/>
      <c r="I40" s="52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0" customHeight="1">
      <c r="A41" s="40"/>
      <c r="B41" s="40"/>
      <c r="C41" s="40"/>
      <c r="D41" s="40"/>
      <c r="E41" s="40"/>
      <c r="F41" s="40"/>
      <c r="G41" s="40"/>
      <c r="H41" s="10"/>
      <c r="I41" s="52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0" customHeight="1">
      <c r="A42" s="37" t="s">
        <v>149</v>
      </c>
      <c r="B42" s="37">
        <f t="shared" ref="B42:G42" si="6">B38-B39</f>
        <v>-137604.3382</v>
      </c>
      <c r="C42" s="37">
        <f t="shared" si="6"/>
        <v>-158611.8357</v>
      </c>
      <c r="D42" s="37">
        <f t="shared" si="6"/>
        <v>231780.5295</v>
      </c>
      <c r="E42" s="37">
        <f t="shared" si="6"/>
        <v>295841.6976</v>
      </c>
      <c r="F42" s="37">
        <f t="shared" si="6"/>
        <v>671922.8138</v>
      </c>
      <c r="G42" s="37">
        <f t="shared" si="6"/>
        <v>1180692.413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0" customHeight="1">
      <c r="A43" s="72" t="s">
        <v>132</v>
      </c>
      <c r="B43" s="37"/>
      <c r="C43" s="72">
        <f>C42/'FE Assumptions'!C28</f>
        <v>-3.359044089</v>
      </c>
      <c r="D43" s="72">
        <f>D42/'FE Assumptions'!D28</f>
        <v>2.854284307</v>
      </c>
      <c r="E43" s="72">
        <f>E42/'FE Assumptions'!E28</f>
        <v>2.797199447</v>
      </c>
      <c r="F43" s="72">
        <f>F42/'FE Assumptions'!F28</f>
        <v>4.213410306</v>
      </c>
      <c r="G43" s="72">
        <f>G42/'FE Assumptions'!G28</f>
        <v>4.945791225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0" customHeight="1">
      <c r="A44" s="37"/>
      <c r="B44" s="37"/>
      <c r="C44" s="40">
        <f t="shared" ref="C44:G44" si="7">C45-C20</f>
        <v>0</v>
      </c>
      <c r="D44" s="40">
        <f t="shared" si="7"/>
        <v>85727.04516</v>
      </c>
      <c r="E44" s="40">
        <f t="shared" si="7"/>
        <v>109420.9019</v>
      </c>
      <c r="F44" s="40">
        <f t="shared" si="7"/>
        <v>248519.3969</v>
      </c>
      <c r="G44" s="40">
        <f t="shared" si="7"/>
        <v>436694.4542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0" customHeight="1">
      <c r="A45" s="40" t="s">
        <v>150</v>
      </c>
      <c r="B45" s="40"/>
      <c r="C45" s="40">
        <f t="shared" ref="C45:G45" si="8">C9-C29-C34-C42-C36</f>
        <v>681246.3298</v>
      </c>
      <c r="D45" s="40">
        <f t="shared" si="8"/>
        <v>1188130.685</v>
      </c>
      <c r="E45" s="40">
        <f t="shared" si="8"/>
        <v>1554149.433</v>
      </c>
      <c r="F45" s="40">
        <f t="shared" si="8"/>
        <v>2267695.118</v>
      </c>
      <c r="G45" s="40">
        <f t="shared" si="8"/>
        <v>3380878.097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0" customHeight="1">
      <c r="A46" s="37" t="s">
        <v>149</v>
      </c>
      <c r="B46" s="37">
        <f t="shared" ref="B46:G46" si="9">B42</f>
        <v>-137604.3382</v>
      </c>
      <c r="C46" s="37">
        <f t="shared" si="9"/>
        <v>-158611.8357</v>
      </c>
      <c r="D46" s="37">
        <f t="shared" si="9"/>
        <v>231780.5295</v>
      </c>
      <c r="E46" s="37">
        <f t="shared" si="9"/>
        <v>295841.6976</v>
      </c>
      <c r="F46" s="37">
        <f t="shared" si="9"/>
        <v>671922.8138</v>
      </c>
      <c r="G46" s="37">
        <f t="shared" si="9"/>
        <v>1180692.413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0" customHeight="1">
      <c r="A47" s="40" t="s">
        <v>151</v>
      </c>
      <c r="B47" s="40">
        <f>IF('FE Cash Flow'!D11&gt;0,'FE Cash Flow'!D11,0)</f>
        <v>0</v>
      </c>
      <c r="C47" s="40">
        <f>IF('FE Cash Flow'!E11&gt;0,'FE Cash Flow'!E11,0)</f>
        <v>0</v>
      </c>
      <c r="D47" s="40">
        <f>IF('FE Cash Flow'!F11&gt;0,'FE Cash Flow'!F11,0)</f>
        <v>0</v>
      </c>
      <c r="E47" s="40">
        <f>IF('FE Cash Flow'!G11&gt;0,'FE Cash Flow'!G11,0)</f>
        <v>94205.51863</v>
      </c>
      <c r="F47" s="40">
        <f>IF('FE Cash Flow'!H11&gt;0,'FE Cash Flow'!H11,0)</f>
        <v>303263.1495</v>
      </c>
      <c r="G47" s="40">
        <f>IF('FE Cash Flow'!I11&gt;0,'FE Cash Flow'!I11,0)</f>
        <v>655417.9394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0" customHeight="1">
      <c r="A48" s="37" t="s">
        <v>152</v>
      </c>
      <c r="B48" s="37">
        <f t="shared" ref="B48:G48" si="10">B46-B47</f>
        <v>-137604.3382</v>
      </c>
      <c r="C48" s="37">
        <f t="shared" si="10"/>
        <v>-158611.8357</v>
      </c>
      <c r="D48" s="37">
        <f t="shared" si="10"/>
        <v>231780.5295</v>
      </c>
      <c r="E48" s="37">
        <f t="shared" si="10"/>
        <v>201636.179</v>
      </c>
      <c r="F48" s="37">
        <f t="shared" si="10"/>
        <v>368659.6643</v>
      </c>
      <c r="G48" s="37">
        <f t="shared" si="10"/>
        <v>525274.4738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0" customHeight="1">
      <c r="A49" s="37"/>
      <c r="B49" s="37"/>
      <c r="C49" s="37"/>
      <c r="D49" s="37"/>
      <c r="E49" s="37"/>
      <c r="F49" s="37"/>
      <c r="G49" s="37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0" customHeight="1">
      <c r="A50" s="37" t="s">
        <v>153</v>
      </c>
      <c r="B50" s="37"/>
      <c r="C50" s="37"/>
      <c r="D50" s="37"/>
      <c r="E50" s="37"/>
      <c r="F50" s="37"/>
      <c r="G50" s="37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0" customHeight="1">
      <c r="A51" s="40" t="s">
        <v>154</v>
      </c>
      <c r="B51" s="37"/>
      <c r="C51" s="79">
        <f t="shared" ref="C51:G51" si="11">C20/C9</f>
        <v>0.4181818632</v>
      </c>
      <c r="D51" s="79">
        <f t="shared" si="11"/>
        <v>0.3996297859</v>
      </c>
      <c r="E51" s="79">
        <f t="shared" si="11"/>
        <v>0.4124052722</v>
      </c>
      <c r="F51" s="79">
        <f t="shared" si="11"/>
        <v>0.400570767</v>
      </c>
      <c r="G51" s="79">
        <f t="shared" si="11"/>
        <v>0.3986057812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0" customHeight="1">
      <c r="A52" s="40" t="s">
        <v>155</v>
      </c>
      <c r="B52" s="37"/>
      <c r="C52" s="79">
        <f t="shared" ref="C52:G52" si="12">C22/C9</f>
        <v>0.5818181368</v>
      </c>
      <c r="D52" s="79">
        <f t="shared" si="12"/>
        <v>0.6003702141</v>
      </c>
      <c r="E52" s="79">
        <f t="shared" si="12"/>
        <v>0.5875947278</v>
      </c>
      <c r="F52" s="79">
        <f t="shared" si="12"/>
        <v>0.599429233</v>
      </c>
      <c r="G52" s="79">
        <f t="shared" si="12"/>
        <v>0.6013942188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0" customHeight="1">
      <c r="A53" s="40" t="s">
        <v>156</v>
      </c>
      <c r="B53" s="37"/>
      <c r="C53" s="79">
        <f t="shared" ref="C53:G53" si="13">(C25+C27)/C9</f>
        <v>0.4070211279</v>
      </c>
      <c r="D53" s="79">
        <f t="shared" si="13"/>
        <v>0.2553138019</v>
      </c>
      <c r="E53" s="79">
        <f t="shared" si="13"/>
        <v>0.2534392754</v>
      </c>
      <c r="F53" s="79">
        <f t="shared" si="13"/>
        <v>0.2129586222</v>
      </c>
      <c r="G53" s="79">
        <f t="shared" si="13"/>
        <v>0.1937762062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0" customHeight="1">
      <c r="A54" s="40" t="s">
        <v>157</v>
      </c>
      <c r="B54" s="37"/>
      <c r="C54" s="79">
        <f t="shared" ref="C54:G54" si="14">(SUM(C31:C33)/C9)</f>
        <v>0.2646868991</v>
      </c>
      <c r="D54" s="79">
        <f t="shared" si="14"/>
        <v>0.2247885566</v>
      </c>
      <c r="E54" s="79">
        <f t="shared" si="14"/>
        <v>0.2132823769</v>
      </c>
      <c r="F54" s="79">
        <f t="shared" si="14"/>
        <v>0.19986705</v>
      </c>
      <c r="G54" s="79">
        <f t="shared" si="14"/>
        <v>0.1855155964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40" t="s">
        <v>158</v>
      </c>
      <c r="B55" s="37"/>
      <c r="C55" s="79">
        <f t="shared" ref="C55:G55" si="15">C42/C9</f>
        <v>-0.09736359679</v>
      </c>
      <c r="D55" s="79">
        <f t="shared" si="15"/>
        <v>0.08402222202</v>
      </c>
      <c r="E55" s="79">
        <f t="shared" si="15"/>
        <v>0.08444955104</v>
      </c>
      <c r="F55" s="79">
        <f t="shared" si="15"/>
        <v>0.1332982732</v>
      </c>
      <c r="G55" s="79">
        <f t="shared" si="15"/>
        <v>0.1598510415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0" customHeight="1">
      <c r="A56" s="80"/>
      <c r="B56" s="81"/>
      <c r="C56" s="52"/>
      <c r="D56" s="52"/>
      <c r="E56" s="52"/>
      <c r="F56" s="52"/>
      <c r="G56" s="52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0" customHeight="1">
      <c r="A57" s="80"/>
      <c r="B57" s="82"/>
      <c r="C57" s="83">
        <f t="shared" ref="C57:G57" si="16">C9/1000</f>
        <v>1629.067135</v>
      </c>
      <c r="D57" s="83">
        <f t="shared" si="16"/>
        <v>2758.562246</v>
      </c>
      <c r="E57" s="83">
        <f t="shared" si="16"/>
        <v>3503.176678</v>
      </c>
      <c r="F57" s="83">
        <f t="shared" si="16"/>
        <v>5040.746574</v>
      </c>
      <c r="G57" s="83">
        <f t="shared" si="16"/>
        <v>7386.204068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0" customHeight="1">
      <c r="A58" s="80"/>
      <c r="B58" s="82"/>
      <c r="C58" s="84"/>
      <c r="D58" s="85">
        <f t="shared" ref="D58:G58" si="17">D57/C57-1</f>
        <v>0.6933385903</v>
      </c>
      <c r="E58" s="85">
        <f t="shared" si="17"/>
        <v>0.2699284501</v>
      </c>
      <c r="F58" s="85">
        <f t="shared" si="17"/>
        <v>0.4389073226</v>
      </c>
      <c r="G58" s="85">
        <f t="shared" si="17"/>
        <v>0.4652996258</v>
      </c>
      <c r="H58" s="52">
        <f>average(D58:G58)</f>
        <v>0.4668684972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0" customHeight="1">
      <c r="A59" s="14"/>
      <c r="B59" s="86"/>
      <c r="C59" s="87"/>
      <c r="D59" s="80">
        <v>1.0</v>
      </c>
      <c r="E59" s="52">
        <f>C53</f>
        <v>0.4070211279</v>
      </c>
      <c r="F59" s="52"/>
      <c r="G59" s="52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0" customHeight="1">
      <c r="A60" s="10"/>
      <c r="B60" s="81"/>
      <c r="C60" s="87"/>
      <c r="D60" s="80">
        <v>2.0</v>
      </c>
      <c r="E60" s="52">
        <f>D53</f>
        <v>0.2553138019</v>
      </c>
      <c r="F60" s="52"/>
      <c r="G60" s="52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0" customHeight="1">
      <c r="A61" s="80"/>
      <c r="B61" s="81"/>
      <c r="C61" s="88"/>
      <c r="D61" s="89">
        <v>3.0</v>
      </c>
      <c r="E61" s="90">
        <f>E53</f>
        <v>0.2534392754</v>
      </c>
      <c r="F61" s="91"/>
      <c r="G61" s="91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0" customHeight="1">
      <c r="A62" s="80"/>
      <c r="B62" s="81"/>
      <c r="C62" s="89"/>
      <c r="D62" s="89">
        <v>4.0</v>
      </c>
      <c r="E62" s="90">
        <f>F53</f>
        <v>0.2129586222</v>
      </c>
      <c r="F62" s="90"/>
      <c r="G62" s="9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0" customHeight="1">
      <c r="A63" s="10"/>
      <c r="B63" s="81"/>
      <c r="C63" s="81"/>
      <c r="D63" s="80">
        <v>5.0</v>
      </c>
      <c r="E63" s="52">
        <f>G53</f>
        <v>0.1937762062</v>
      </c>
      <c r="F63" s="81"/>
      <c r="G63" s="81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0" customHeight="1">
      <c r="A64" s="10"/>
      <c r="B64" s="81"/>
      <c r="C64" s="86"/>
      <c r="D64" s="86"/>
      <c r="E64" s="86"/>
      <c r="F64" s="86"/>
      <c r="G64" s="52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0" customHeight="1">
      <c r="A65" s="10"/>
      <c r="B65" s="86"/>
      <c r="C65" s="81"/>
      <c r="D65" s="81"/>
      <c r="E65" s="81"/>
      <c r="F65" s="81"/>
      <c r="G65" s="8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0" customHeight="1">
      <c r="A66" s="10"/>
      <c r="B66" s="82"/>
      <c r="C66" s="92"/>
      <c r="D66" s="92"/>
      <c r="E66" s="92"/>
      <c r="F66" s="92"/>
      <c r="G66" s="92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0" customHeight="1">
      <c r="A67" s="10"/>
      <c r="B67" s="82"/>
      <c r="C67" s="92"/>
      <c r="D67" s="92"/>
      <c r="E67" s="92"/>
      <c r="F67" s="92"/>
      <c r="G67" s="92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0" customHeight="1">
      <c r="A68" s="14"/>
      <c r="B68" s="86"/>
      <c r="C68" s="81"/>
      <c r="D68" s="81"/>
      <c r="E68" s="81"/>
      <c r="F68" s="81"/>
      <c r="G68" s="93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0" customHeight="1">
      <c r="A69" s="10"/>
      <c r="B69" s="86"/>
      <c r="C69" s="81"/>
      <c r="D69" s="81"/>
      <c r="E69" s="81"/>
      <c r="F69" s="81"/>
      <c r="G69" s="81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0" customHeight="1">
      <c r="A70" s="10"/>
      <c r="B70" s="81"/>
      <c r="C70" s="81"/>
      <c r="D70" s="81"/>
      <c r="E70" s="81"/>
      <c r="F70" s="81"/>
      <c r="G70" s="81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0" customHeight="1">
      <c r="A71" s="10"/>
      <c r="B71" s="94"/>
      <c r="C71" s="94"/>
      <c r="D71" s="94"/>
      <c r="E71" s="94"/>
      <c r="F71" s="94"/>
      <c r="G71" s="94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0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0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0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0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0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0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0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0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0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0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0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0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0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2.0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2.0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2.0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2.0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2.0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2.0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2.0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2.0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2.0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12.0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5.75"/>
    <col customWidth="1" min="2" max="2" width="53.0"/>
    <col customWidth="1" min="3" max="8" width="19.25"/>
    <col customWidth="1" min="9" max="9" width="18.63"/>
    <col customWidth="1" min="10" max="10" width="9.0"/>
    <col customWidth="1" min="11" max="27" width="8.38"/>
  </cols>
  <sheetData>
    <row r="1" ht="12.0" customHeight="1">
      <c r="A1" s="15"/>
      <c r="B1" s="15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75" customHeight="1">
      <c r="A2" s="9"/>
      <c r="B2" s="95" t="s">
        <v>159</v>
      </c>
      <c r="C2" s="96"/>
      <c r="D2" s="96"/>
      <c r="E2" s="96"/>
      <c r="F2" s="96"/>
      <c r="G2" s="96"/>
      <c r="H2" s="97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5.75" customHeight="1">
      <c r="A3" s="13"/>
      <c r="B3" s="98" t="s">
        <v>124</v>
      </c>
      <c r="C3" s="99" t="s">
        <v>31</v>
      </c>
      <c r="D3" s="99" t="s">
        <v>32</v>
      </c>
      <c r="E3" s="99" t="s">
        <v>33</v>
      </c>
      <c r="F3" s="99" t="s">
        <v>34</v>
      </c>
      <c r="G3" s="99" t="s">
        <v>35</v>
      </c>
      <c r="H3" s="100" t="s">
        <v>36</v>
      </c>
      <c r="I3" s="64" t="s">
        <v>160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2.0" customHeight="1">
      <c r="A4" s="31"/>
      <c r="B4" s="31" t="s">
        <v>161</v>
      </c>
      <c r="C4" s="31"/>
      <c r="D4" s="31"/>
      <c r="E4" s="31"/>
      <c r="F4" s="31"/>
      <c r="G4" s="31"/>
      <c r="H4" s="31"/>
      <c r="I4" s="3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2.0" customHeight="1">
      <c r="A5" s="27"/>
      <c r="B5" s="27" t="s">
        <v>162</v>
      </c>
      <c r="C5" s="40">
        <f>'Starting Data Set'!C9</f>
        <v>0</v>
      </c>
      <c r="D5" s="40">
        <f>'Starting Data Set'!D9*'FE Income Statement'!C9</f>
        <v>81453.35675</v>
      </c>
      <c r="E5" s="40">
        <f>'Starting Data Set'!E9*'FE Income Statement'!D9</f>
        <v>137928.1123</v>
      </c>
      <c r="F5" s="40">
        <f>'Starting Data Set'!F9*'FE Income Statement'!E9</f>
        <v>175158.8339</v>
      </c>
      <c r="G5" s="40">
        <f>'Starting Data Set'!G9*'FE Income Statement'!F9</f>
        <v>252037.3287</v>
      </c>
      <c r="H5" s="40">
        <f>'Starting Data Set'!H9*'FE Income Statement'!G9</f>
        <v>369310.2034</v>
      </c>
      <c r="I5" s="40" t="s">
        <v>163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2.0" customHeight="1">
      <c r="A6" s="27"/>
      <c r="B6" s="27" t="s">
        <v>164</v>
      </c>
      <c r="C6" s="40"/>
      <c r="D6" s="40">
        <f>('Starting Data Set'!D10/365)*'FE Income Statement'!C9</f>
        <v>200843.8934</v>
      </c>
      <c r="E6" s="40">
        <f>('Starting Data Set'!E10/365)*'FE Income Statement'!D9</f>
        <v>340096.7153</v>
      </c>
      <c r="F6" s="40">
        <f>('Starting Data Set'!F10/365)*'FE Income Statement'!E9</f>
        <v>431898.4945</v>
      </c>
      <c r="G6" s="40">
        <f>('Starting Data Set'!G10/365)*'FE Income Statement'!F9</f>
        <v>621461.9064</v>
      </c>
      <c r="H6" s="40">
        <f>('Starting Data Set'!H10/365)*'FE Income Statement'!G9</f>
        <v>910627.8988</v>
      </c>
      <c r="I6" s="40" t="s">
        <v>163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2.0" customHeight="1">
      <c r="A7" s="27"/>
      <c r="B7" s="27"/>
      <c r="C7" s="40"/>
      <c r="D7" s="40"/>
      <c r="E7" s="40"/>
      <c r="F7" s="40"/>
      <c r="G7" s="40"/>
      <c r="H7" s="40"/>
      <c r="I7" s="4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2.0" customHeight="1">
      <c r="A8" s="27"/>
      <c r="B8" s="27" t="s">
        <v>165</v>
      </c>
      <c r="C8" s="40"/>
      <c r="D8" s="40">
        <f>'FE Assumptions'!C60</f>
        <v>92355.68991</v>
      </c>
      <c r="E8" s="40">
        <f>'FE Assumptions'!D60</f>
        <v>127815.2221</v>
      </c>
      <c r="F8" s="40">
        <f>'FE Assumptions'!E60</f>
        <v>160107.9895</v>
      </c>
      <c r="G8" s="40">
        <f>'FE Assumptions'!F60</f>
        <v>210899.5824</v>
      </c>
      <c r="H8" s="40">
        <f>'FE Assumptions'!G60</f>
        <v>268129.3044</v>
      </c>
      <c r="I8" s="4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2.0" customHeight="1">
      <c r="A9" s="27"/>
      <c r="B9" s="27" t="s">
        <v>166</v>
      </c>
      <c r="C9" s="40"/>
      <c r="D9" s="40">
        <f>'FE Assumptions'!C61</f>
        <v>28099.49346</v>
      </c>
      <c r="E9" s="40">
        <f>'FE Assumptions'!D61</f>
        <v>45471.04698</v>
      </c>
      <c r="F9" s="40">
        <f>'FE Assumptions'!E61</f>
        <v>68815.42134</v>
      </c>
      <c r="G9" s="40">
        <f>'FE Assumptions'!F61</f>
        <v>96177.5344</v>
      </c>
      <c r="H9" s="40">
        <f>'FE Assumptions'!G61</f>
        <v>140237.5834</v>
      </c>
      <c r="I9" s="4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2.0" customHeight="1">
      <c r="A10" s="27"/>
      <c r="B10" s="27" t="s">
        <v>167</v>
      </c>
      <c r="C10" s="40">
        <f>'Starting Data Set'!C12</f>
        <v>32663.33377</v>
      </c>
      <c r="D10" s="40">
        <f t="shared" ref="D10:H10" si="1">SUM(D8:D9)</f>
        <v>120455.1834</v>
      </c>
      <c r="E10" s="40">
        <f t="shared" si="1"/>
        <v>173286.2691</v>
      </c>
      <c r="F10" s="40">
        <f t="shared" si="1"/>
        <v>228923.4109</v>
      </c>
      <c r="G10" s="40">
        <f t="shared" si="1"/>
        <v>307077.1168</v>
      </c>
      <c r="H10" s="40">
        <f t="shared" si="1"/>
        <v>408366.8878</v>
      </c>
      <c r="I10" s="27" t="s">
        <v>168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2.0" customHeight="1">
      <c r="A11" s="40"/>
      <c r="B11" s="101" t="s">
        <v>169</v>
      </c>
      <c r="C11" s="40">
        <f t="shared" ref="C11:H11" si="2">SUM(C5:C10)</f>
        <v>32663.33377</v>
      </c>
      <c r="D11" s="37">
        <f t="shared" si="2"/>
        <v>523207.6169</v>
      </c>
      <c r="E11" s="37">
        <f t="shared" si="2"/>
        <v>824597.3658</v>
      </c>
      <c r="F11" s="37">
        <f t="shared" si="2"/>
        <v>1064904.15</v>
      </c>
      <c r="G11" s="37">
        <f t="shared" si="2"/>
        <v>1487653.469</v>
      </c>
      <c r="H11" s="37">
        <f t="shared" si="2"/>
        <v>2096671.878</v>
      </c>
      <c r="I11" s="37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2.0" customHeight="1">
      <c r="A12" s="40"/>
      <c r="B12" s="45" t="s">
        <v>170</v>
      </c>
      <c r="C12" s="27"/>
      <c r="D12" s="27"/>
      <c r="E12" s="27"/>
      <c r="F12" s="27"/>
      <c r="G12" s="27"/>
      <c r="H12" s="27"/>
      <c r="I12" s="2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2.0" customHeight="1">
      <c r="A13" s="37"/>
      <c r="B13" s="45" t="s">
        <v>171</v>
      </c>
      <c r="C13" s="40">
        <f>'Starting Data Set'!C7</f>
        <v>263922.25</v>
      </c>
      <c r="D13" s="40">
        <f>C13+'Starting Data Set'!D7</f>
        <v>272214.4494</v>
      </c>
      <c r="E13" s="40">
        <f>D13+'Starting Data Set'!E7</f>
        <v>287228.1357</v>
      </c>
      <c r="F13" s="40">
        <f>E13+'Starting Data Set'!F7</f>
        <v>294874.7144</v>
      </c>
      <c r="G13" s="40">
        <f>F13+'Starting Data Set'!G7</f>
        <v>308182.1033</v>
      </c>
      <c r="H13" s="40">
        <f>G13+'Starting Data Set'!H7</f>
        <v>323575.7649</v>
      </c>
      <c r="I13" s="27" t="s">
        <v>172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2.0" customHeight="1">
      <c r="A14" s="40"/>
      <c r="B14" s="45" t="s">
        <v>173</v>
      </c>
      <c r="C14" s="40"/>
      <c r="D14" s="40">
        <f>'Starting Data Set'!D23</f>
        <v>12180.85138</v>
      </c>
      <c r="E14" s="40">
        <f>D14+'Starting Data Set'!E23</f>
        <v>26443.88164</v>
      </c>
      <c r="F14" s="40">
        <f>E14+'Starting Data Set'!F23</f>
        <v>44624.77326</v>
      </c>
      <c r="G14" s="40">
        <f>F14+'Starting Data Set'!G23</f>
        <v>64806.97898</v>
      </c>
      <c r="H14" s="40">
        <f>G14+'Starting Data Set'!H23</f>
        <v>87916.52747</v>
      </c>
      <c r="I14" s="27" t="s">
        <v>174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.0" customHeight="1">
      <c r="A15" s="40"/>
      <c r="B15" s="45" t="s">
        <v>175</v>
      </c>
      <c r="C15" s="40">
        <f t="shared" ref="C15:H15" si="3">C13-C14</f>
        <v>263922.25</v>
      </c>
      <c r="D15" s="40">
        <f t="shared" si="3"/>
        <v>260033.598</v>
      </c>
      <c r="E15" s="40">
        <f t="shared" si="3"/>
        <v>260784.254</v>
      </c>
      <c r="F15" s="40">
        <f t="shared" si="3"/>
        <v>250249.9411</v>
      </c>
      <c r="G15" s="40">
        <f t="shared" si="3"/>
        <v>243375.1243</v>
      </c>
      <c r="H15" s="40">
        <f t="shared" si="3"/>
        <v>235659.2374</v>
      </c>
      <c r="I15" s="27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0" customHeight="1">
      <c r="A16" s="40"/>
      <c r="B16" s="45"/>
      <c r="C16" s="40"/>
      <c r="D16" s="40"/>
      <c r="E16" s="40"/>
      <c r="F16" s="40"/>
      <c r="G16" s="40"/>
      <c r="H16" s="4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2.0" customHeight="1">
      <c r="A17" s="37"/>
      <c r="B17" s="37" t="s">
        <v>176</v>
      </c>
      <c r="C17" s="37">
        <f t="shared" ref="C17:H17" si="4">C11+C15</f>
        <v>296585.5838</v>
      </c>
      <c r="D17" s="37">
        <f t="shared" si="4"/>
        <v>783241.2149</v>
      </c>
      <c r="E17" s="37">
        <f t="shared" si="4"/>
        <v>1085381.62</v>
      </c>
      <c r="F17" s="37">
        <f t="shared" si="4"/>
        <v>1315154.091</v>
      </c>
      <c r="G17" s="37">
        <f t="shared" si="4"/>
        <v>1731028.593</v>
      </c>
      <c r="H17" s="37">
        <f t="shared" si="4"/>
        <v>2332331.115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2.0" customHeight="1">
      <c r="A18" s="37"/>
      <c r="B18" s="37"/>
      <c r="C18" s="37"/>
      <c r="D18" s="37"/>
      <c r="E18" s="37"/>
      <c r="F18" s="37"/>
      <c r="G18" s="37"/>
      <c r="H18" s="37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0" customHeight="1">
      <c r="A19" s="40"/>
      <c r="B19" s="40" t="s">
        <v>177</v>
      </c>
      <c r="C19" s="40"/>
      <c r="D19" s="40"/>
      <c r="E19" s="40"/>
      <c r="F19" s="40"/>
      <c r="G19" s="40"/>
      <c r="H19" s="4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2.0" customHeight="1">
      <c r="A20" s="40"/>
      <c r="B20" s="40" t="s">
        <v>178</v>
      </c>
      <c r="C20" s="40"/>
      <c r="D20" s="40">
        <f>'Starting Data Set'!D11*'FE Income Statement'!C20*(1/365)</f>
        <v>55992.84902</v>
      </c>
      <c r="E20" s="40">
        <f>'Starting Data Set'!E11*'FE Income Statement'!D20*(1/365)</f>
        <v>90608.51833</v>
      </c>
      <c r="F20" s="40">
        <f>'Starting Data Set'!F11*'FE Income Statement'!E20*(1/365)</f>
        <v>118744.8108</v>
      </c>
      <c r="G20" s="40">
        <f>'Starting Data Set'!G11*'FE Income Statement'!F20*(1/365)</f>
        <v>165959.6483</v>
      </c>
      <c r="H20" s="40">
        <f>'Starting Data Set'!H11*'FE Income Statement'!G20*(1/365)</f>
        <v>241987.6967</v>
      </c>
      <c r="I20" s="10" t="s">
        <v>163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2.0" customHeight="1">
      <c r="A21" s="37"/>
      <c r="B21" s="37" t="s">
        <v>179</v>
      </c>
      <c r="C21" s="37" t="str">
        <f t="shared" ref="C21:H21" si="5">C20</f>
        <v/>
      </c>
      <c r="D21" s="37">
        <f t="shared" si="5"/>
        <v>55992.84902</v>
      </c>
      <c r="E21" s="37">
        <f t="shared" si="5"/>
        <v>90608.51833</v>
      </c>
      <c r="F21" s="37">
        <f t="shared" si="5"/>
        <v>118744.8108</v>
      </c>
      <c r="G21" s="37">
        <f t="shared" si="5"/>
        <v>165959.6483</v>
      </c>
      <c r="H21" s="37">
        <f t="shared" si="5"/>
        <v>241987.6967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2.0" customHeight="1">
      <c r="A22" s="40"/>
      <c r="B22" s="40" t="s">
        <v>180</v>
      </c>
      <c r="C22" s="40"/>
      <c r="D22" s="40"/>
      <c r="E22" s="40"/>
      <c r="F22" s="40"/>
      <c r="G22" s="40"/>
      <c r="H22" s="4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2.0" customHeight="1">
      <c r="A23" s="40"/>
      <c r="B23" s="40" t="s">
        <v>181</v>
      </c>
      <c r="C23" s="40">
        <f>IF('FE Cash Flow'!D15&lt;0,'FE Cash Flow'!D15,0)*-1</f>
        <v>434189.922</v>
      </c>
      <c r="D23" s="40">
        <f>C23+IF('FE Cash Flow'!E15&lt;0,'FE Cash Flow'!E15,0)*-1</f>
        <v>1023464.54</v>
      </c>
      <c r="E23" s="40">
        <f>D23+IF('FE Cash Flow'!F15&lt;0,'FE Cash Flow'!F15,0)*-1</f>
        <v>1059208.746</v>
      </c>
      <c r="F23" s="40">
        <f>E23+IF('FE Cash Flow'!G15&lt;0,'FE Cash Flow'!G15,0)*-1</f>
        <v>1059208.746</v>
      </c>
      <c r="G23" s="40">
        <f>F23+IF('FE Cash Flow'!H15&lt;0,'FE Cash Flow'!H15,0)*-1</f>
        <v>1059208.746</v>
      </c>
      <c r="H23" s="40">
        <f>G23+IF('FE Cash Flow'!I15&lt;0,'FE Cash Flow'!I15,0)*-1</f>
        <v>1059208.746</v>
      </c>
      <c r="I23" s="10" t="s">
        <v>182</v>
      </c>
      <c r="J23" s="63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2.0" customHeight="1">
      <c r="A24" s="40"/>
      <c r="B24" s="40" t="s">
        <v>183</v>
      </c>
      <c r="C24" s="40">
        <f>'FE Income Statement'!B48</f>
        <v>-137604.3382</v>
      </c>
      <c r="D24" s="40">
        <f>C24+'FE Income Statement'!C46-'FE Income Statement'!C47</f>
        <v>-296216.1739</v>
      </c>
      <c r="E24" s="40">
        <f>D24+'FE Income Statement'!D46-'FE Income Statement'!D47</f>
        <v>-64435.64441</v>
      </c>
      <c r="F24" s="40">
        <f>E24+'FE Income Statement'!E46-'FE Income Statement'!E47</f>
        <v>137200.5346</v>
      </c>
      <c r="G24" s="40">
        <f>F24+'FE Income Statement'!F46-'FE Income Statement'!F47</f>
        <v>505860.1989</v>
      </c>
      <c r="H24" s="40">
        <f>G24+'FE Income Statement'!G46-'FE Income Statement'!G47</f>
        <v>1031134.673</v>
      </c>
      <c r="I24" s="10" t="s">
        <v>184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0" customHeight="1">
      <c r="A25" s="37"/>
      <c r="B25" s="37" t="s">
        <v>185</v>
      </c>
      <c r="C25" s="37">
        <f t="shared" ref="C25:H25" si="6">C23+C24</f>
        <v>296585.5838</v>
      </c>
      <c r="D25" s="37">
        <f t="shared" si="6"/>
        <v>727248.3659</v>
      </c>
      <c r="E25" s="37">
        <f t="shared" si="6"/>
        <v>994773.1015</v>
      </c>
      <c r="F25" s="37">
        <f t="shared" si="6"/>
        <v>1196409.28</v>
      </c>
      <c r="G25" s="37">
        <f t="shared" si="6"/>
        <v>1565068.945</v>
      </c>
      <c r="H25" s="37">
        <f t="shared" si="6"/>
        <v>2090343.419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2.0" customHeight="1">
      <c r="A26" s="40"/>
      <c r="B26" s="40"/>
      <c r="C26" s="40"/>
      <c r="D26" s="40"/>
      <c r="E26" s="40"/>
      <c r="F26" s="40"/>
      <c r="G26" s="40"/>
      <c r="H26" s="4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2.0" customHeight="1">
      <c r="A27" s="37"/>
      <c r="B27" s="37" t="s">
        <v>186</v>
      </c>
      <c r="C27" s="37">
        <f t="shared" ref="C27:H27" si="7">C25+C21</f>
        <v>296585.5838</v>
      </c>
      <c r="D27" s="37">
        <f t="shared" si="7"/>
        <v>783241.2149</v>
      </c>
      <c r="E27" s="37">
        <f t="shared" si="7"/>
        <v>1085381.62</v>
      </c>
      <c r="F27" s="37">
        <f t="shared" si="7"/>
        <v>1315154.091</v>
      </c>
      <c r="G27" s="37">
        <f t="shared" si="7"/>
        <v>1731028.593</v>
      </c>
      <c r="H27" s="37">
        <f t="shared" si="7"/>
        <v>2332331.115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2.0" customHeight="1">
      <c r="A28" s="37"/>
      <c r="B28" s="37"/>
      <c r="C28" s="37"/>
      <c r="D28" s="37"/>
      <c r="E28" s="37"/>
      <c r="F28" s="37"/>
      <c r="G28" s="37"/>
      <c r="H28" s="37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2.0" customHeight="1">
      <c r="A29" s="37"/>
      <c r="B29" s="37"/>
      <c r="C29" s="37"/>
      <c r="D29" s="37"/>
      <c r="E29" s="37"/>
      <c r="F29" s="37"/>
      <c r="G29" s="37"/>
      <c r="H29" s="37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2.0" customHeight="1">
      <c r="A30" s="40"/>
      <c r="B30" s="40" t="s">
        <v>187</v>
      </c>
      <c r="C30" s="102">
        <f t="shared" ref="C30:H30" si="8">C17-C27</f>
        <v>0</v>
      </c>
      <c r="D30" s="102">
        <f t="shared" si="8"/>
        <v>0</v>
      </c>
      <c r="E30" s="102">
        <f t="shared" si="8"/>
        <v>0</v>
      </c>
      <c r="F30" s="102">
        <f t="shared" si="8"/>
        <v>0</v>
      </c>
      <c r="G30" s="102">
        <f t="shared" si="8"/>
        <v>-0.0000000002328306437</v>
      </c>
      <c r="H30" s="102">
        <f t="shared" si="8"/>
        <v>-0.0000000004656612873</v>
      </c>
      <c r="I30" s="10" t="s">
        <v>188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2.0" customHeight="1">
      <c r="A31" s="37"/>
      <c r="B31" s="37"/>
      <c r="C31" s="37"/>
      <c r="D31" s="37"/>
      <c r="E31" s="37"/>
      <c r="F31" s="37"/>
      <c r="G31" s="37"/>
      <c r="H31" s="37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2.0" customHeight="1">
      <c r="A32" s="37"/>
      <c r="B32" s="37" t="s">
        <v>189</v>
      </c>
      <c r="C32" s="37">
        <f t="shared" ref="C32:H32" si="9">C11-C21</f>
        <v>32663.33377</v>
      </c>
      <c r="D32" s="37">
        <f t="shared" si="9"/>
        <v>467214.7678</v>
      </c>
      <c r="E32" s="37">
        <f t="shared" si="9"/>
        <v>733988.8474</v>
      </c>
      <c r="F32" s="37">
        <f t="shared" si="9"/>
        <v>946159.3393</v>
      </c>
      <c r="G32" s="37">
        <f t="shared" si="9"/>
        <v>1321693.82</v>
      </c>
      <c r="H32" s="37">
        <f t="shared" si="9"/>
        <v>1854684.181</v>
      </c>
      <c r="I32" s="10" t="s">
        <v>190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2.0" customHeight="1">
      <c r="A33" s="37"/>
      <c r="B33" s="37"/>
      <c r="C33" s="37"/>
      <c r="D33" s="37"/>
      <c r="E33" s="37"/>
      <c r="F33" s="37"/>
      <c r="G33" s="37"/>
      <c r="H33" s="3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2.0" customHeight="1">
      <c r="A34" s="37"/>
      <c r="B34" s="37" t="s">
        <v>191</v>
      </c>
      <c r="C34" s="37"/>
      <c r="D34" s="37"/>
      <c r="E34" s="37"/>
      <c r="F34" s="37"/>
      <c r="G34" s="37"/>
      <c r="H34" s="37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2.0" customHeight="1">
      <c r="A35" s="37"/>
      <c r="B35" s="40" t="s">
        <v>192</v>
      </c>
      <c r="C35" s="37"/>
      <c r="D35" s="60">
        <v>5.0</v>
      </c>
      <c r="E35" s="60">
        <v>5.0</v>
      </c>
      <c r="F35" s="60">
        <v>5.0</v>
      </c>
      <c r="G35" s="60">
        <v>5.0</v>
      </c>
      <c r="H35" s="60">
        <v>5.0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2.0" customHeight="1">
      <c r="A36" s="40"/>
      <c r="B36" s="40" t="s">
        <v>193</v>
      </c>
      <c r="C36" s="37"/>
      <c r="D36" s="60">
        <f>(D6/'FE Income Statement'!C9)*365</f>
        <v>45</v>
      </c>
      <c r="E36" s="60">
        <f>(E6/'FE Income Statement'!D9)*365</f>
        <v>45</v>
      </c>
      <c r="F36" s="60">
        <f>(F6/'FE Income Statement'!E9)*365</f>
        <v>45</v>
      </c>
      <c r="G36" s="60">
        <f>(G6/'FE Income Statement'!F9)*365</f>
        <v>45</v>
      </c>
      <c r="H36" s="60">
        <f>(H6/'FE Income Statement'!G9)*365</f>
        <v>45</v>
      </c>
      <c r="I36" s="10" t="s">
        <v>194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2.0" customHeight="1">
      <c r="A37" s="40"/>
      <c r="B37" s="40" t="s">
        <v>195</v>
      </c>
      <c r="C37" s="37"/>
      <c r="D37" s="60">
        <f>(D10/'FE Income Statement'!C20)*365</f>
        <v>64.53780374</v>
      </c>
      <c r="E37" s="60">
        <f>(E10/'FE Income Statement'!D20)*365</f>
        <v>57.37416491</v>
      </c>
      <c r="F37" s="60">
        <f>(F10/'FE Income Statement'!E20)*365</f>
        <v>57.83581008</v>
      </c>
      <c r="G37" s="60">
        <f>(G10/'FE Income Statement'!F20)*365</f>
        <v>55.50935783</v>
      </c>
      <c r="H37" s="60">
        <f>(H10/'FE Income Statement'!G20)*365</f>
        <v>50.62656821</v>
      </c>
      <c r="I37" s="10" t="s">
        <v>196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2.0" customHeight="1">
      <c r="A38" s="40"/>
      <c r="B38" s="40" t="s">
        <v>197</v>
      </c>
      <c r="C38" s="37"/>
      <c r="D38" s="60">
        <f>'Starting Data Set'!D11</f>
        <v>30</v>
      </c>
      <c r="E38" s="60">
        <f>'Starting Data Set'!E11</f>
        <v>30</v>
      </c>
      <c r="F38" s="60">
        <f>'Starting Data Set'!F11</f>
        <v>30</v>
      </c>
      <c r="G38" s="60">
        <f>'Starting Data Set'!G11</f>
        <v>30</v>
      </c>
      <c r="H38" s="60">
        <f>'Starting Data Set'!H11</f>
        <v>30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2.0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2.0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2.0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2.0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2.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2.0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2.0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2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2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2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2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2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2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2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2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2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2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2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2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2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2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2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2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2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2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2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2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2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2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2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2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2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2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2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2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2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2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2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2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2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2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2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2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2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2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2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2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2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2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2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2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2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2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2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2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2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2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2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2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2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2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2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2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2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2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2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2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2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2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2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2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2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2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2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2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2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2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2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2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2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2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2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2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2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2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2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2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2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2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2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2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2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2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2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2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2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2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2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2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2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2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2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2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2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2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2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2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2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2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2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2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2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2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2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2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2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2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2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2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2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2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2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2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2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2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2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2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2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2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2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2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2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2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2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2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2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2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2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2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2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2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2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2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2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2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2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2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2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2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2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2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2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2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2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2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2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2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2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2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2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2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2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2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2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2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2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2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2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2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2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2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2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2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2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2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2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2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2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2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2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2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2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2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2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2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2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2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2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2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2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2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2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2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2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2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2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2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2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2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2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2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2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2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2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2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2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2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2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2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2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2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2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2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2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2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2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2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2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2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2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2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2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2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2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2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2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2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2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2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2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2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2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2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2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2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2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2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2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2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2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2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2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2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2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2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2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2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2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2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2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2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2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2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2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2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2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2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2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2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2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2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2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2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2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2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2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2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2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2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2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2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2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2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2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2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2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2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2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2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2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2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2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2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2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2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2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2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2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2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2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2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2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2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2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2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2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2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2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2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2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2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2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2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2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2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2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2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2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2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2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2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2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2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2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2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2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2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2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2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2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2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2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2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2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2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2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2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2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2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2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2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2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2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2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2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2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2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2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2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2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2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2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2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2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2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2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2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2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2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2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2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2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2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2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2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2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2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2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2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2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2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2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2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2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2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2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2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2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2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2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2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2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2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2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2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2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2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2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2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2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2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2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2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2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2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2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2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2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2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2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2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2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2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2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2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2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2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2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2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2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2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2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2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2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2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2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2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2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2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2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2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2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2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2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2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2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2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2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2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2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2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2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2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2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2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2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2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2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2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2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2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2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2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2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2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2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2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2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2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2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2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2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2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2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2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2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2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2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2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2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2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2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2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2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2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2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2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2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2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2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2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2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2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2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2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2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2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2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2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2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2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2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2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2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2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2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2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2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2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2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2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2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2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2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2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2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2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2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2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2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2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2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2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2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2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2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2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2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2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2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2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2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2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2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2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2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2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2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2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2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2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2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2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2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2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2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2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2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2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2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2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2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2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2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2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2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2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2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2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2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2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2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2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2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2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2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2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2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2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2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2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2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2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2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2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2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2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2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2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2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2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2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2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2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2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2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2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2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2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2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2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2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2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2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2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2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2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2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2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2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2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2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2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2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2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2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2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2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2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2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2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2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2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2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2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2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2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2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2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2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2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2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2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2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2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2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2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2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2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2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2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2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2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2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2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2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2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2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2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2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2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2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2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2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2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2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2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2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2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2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2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2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2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2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2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2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2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2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2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2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2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2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2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2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2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2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2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2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2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2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2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2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2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2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2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2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2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2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2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2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2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2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2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2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2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2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2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2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2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2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2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2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2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2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2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2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2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2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2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2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2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2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2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2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2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2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2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2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2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2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2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2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2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2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2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2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2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2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2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2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2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2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2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2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2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2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2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2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2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2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2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2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2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2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2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2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2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2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2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2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2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2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2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2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2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2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2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2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2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2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2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2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2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2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2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2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2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2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2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2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2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2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2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2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2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2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2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2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2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2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2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2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2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2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2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2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2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2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2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2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2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2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2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2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2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2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2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2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2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2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2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2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2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2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2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2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2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2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2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2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2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2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2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2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2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2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2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2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2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2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2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2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2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2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2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2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2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2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2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2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2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2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2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2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2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2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2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2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2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2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2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2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2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2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2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2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2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2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2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2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2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2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2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2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2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2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2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2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2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2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2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2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2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2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2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2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2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2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2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2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2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2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2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2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2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2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2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2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2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2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2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2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2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2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2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2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2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2.0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2.0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2.0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2" max="2" width="25.63"/>
    <col customWidth="1" min="3" max="3" width="20.38"/>
    <col customWidth="1" min="5" max="5" width="22.0"/>
    <col customWidth="1" min="6" max="6" width="16.0"/>
    <col customWidth="1" min="8" max="8" width="15.13"/>
    <col customWidth="1" min="9" max="9" width="17.38"/>
    <col customWidth="1" min="10" max="10" width="15.88"/>
    <col customWidth="1" min="11" max="11" width="14.88"/>
    <col customWidth="1" min="12" max="12" width="17.0"/>
    <col customWidth="1" min="13" max="13" width="15.75"/>
    <col customWidth="1" min="14" max="14" width="17.38"/>
    <col customWidth="1" min="15" max="15" width="14.63"/>
    <col customWidth="1" min="16" max="16" width="14.75"/>
  </cols>
  <sheetData>
    <row r="2">
      <c r="B2" s="1" t="s">
        <v>198</v>
      </c>
      <c r="C2" s="3"/>
    </row>
    <row r="4">
      <c r="B4" s="103" t="s">
        <v>199</v>
      </c>
      <c r="C4" s="104"/>
      <c r="D4" s="105"/>
      <c r="E4" s="106" t="s">
        <v>200</v>
      </c>
      <c r="F4" s="104"/>
      <c r="G4" s="105"/>
      <c r="H4" s="106" t="s">
        <v>201</v>
      </c>
      <c r="I4" s="104"/>
      <c r="J4" s="104"/>
      <c r="K4" s="105"/>
      <c r="L4" s="106" t="s">
        <v>202</v>
      </c>
      <c r="M4" s="104"/>
      <c r="N4" s="105"/>
      <c r="O4" s="106" t="s">
        <v>203</v>
      </c>
      <c r="P4" s="104"/>
      <c r="Q4" s="105"/>
      <c r="R4" s="107"/>
      <c r="S4" s="106" t="s">
        <v>204</v>
      </c>
      <c r="T4" s="104"/>
      <c r="U4" s="104"/>
      <c r="V4" s="105"/>
      <c r="W4" s="106" t="s">
        <v>205</v>
      </c>
      <c r="X4" s="104"/>
      <c r="Y4" s="108"/>
    </row>
    <row r="5">
      <c r="B5" s="109" t="s">
        <v>206</v>
      </c>
      <c r="C5" s="110" t="s">
        <v>207</v>
      </c>
      <c r="D5" s="110" t="s">
        <v>208</v>
      </c>
      <c r="E5" s="110" t="s">
        <v>209</v>
      </c>
      <c r="F5" s="110" t="s">
        <v>210</v>
      </c>
      <c r="G5" s="110" t="s">
        <v>211</v>
      </c>
      <c r="H5" s="110" t="s">
        <v>212</v>
      </c>
      <c r="I5" s="110" t="s">
        <v>138</v>
      </c>
      <c r="J5" s="110" t="s">
        <v>213</v>
      </c>
      <c r="K5" s="110" t="s">
        <v>149</v>
      </c>
      <c r="L5" s="110" t="s">
        <v>214</v>
      </c>
      <c r="M5" s="110" t="s">
        <v>215</v>
      </c>
      <c r="N5" s="110" t="s">
        <v>216</v>
      </c>
      <c r="O5" s="110" t="s">
        <v>217</v>
      </c>
      <c r="P5" s="110" t="s">
        <v>218</v>
      </c>
      <c r="Q5" s="110" t="s">
        <v>219</v>
      </c>
      <c r="R5" s="110" t="s">
        <v>220</v>
      </c>
      <c r="S5" s="110" t="s">
        <v>221</v>
      </c>
      <c r="T5" s="110" t="s">
        <v>222</v>
      </c>
      <c r="U5" s="110" t="s">
        <v>223</v>
      </c>
      <c r="V5" s="110" t="s">
        <v>224</v>
      </c>
      <c r="W5" s="110" t="s">
        <v>225</v>
      </c>
      <c r="X5" s="110" t="s">
        <v>226</v>
      </c>
      <c r="Y5" s="111" t="s">
        <v>227</v>
      </c>
    </row>
    <row r="6">
      <c r="B6" s="112" t="s">
        <v>228</v>
      </c>
      <c r="C6" s="113" t="s">
        <v>229</v>
      </c>
      <c r="D6" s="114">
        <v>0.1</v>
      </c>
      <c r="E6" s="115">
        <v>2772.0</v>
      </c>
      <c r="F6" s="115">
        <v>2180.0</v>
      </c>
      <c r="G6" s="115">
        <v>0.18</v>
      </c>
      <c r="H6" s="115">
        <v>754.5</v>
      </c>
      <c r="I6" s="115">
        <v>376.4</v>
      </c>
      <c r="J6" s="115">
        <f>E6/P6</f>
        <v>10.05185481</v>
      </c>
      <c r="K6" s="115">
        <v>-5.51</v>
      </c>
      <c r="L6" s="116">
        <f t="shared" ref="L6:L9" si="2">I6/H6</f>
        <v>0.4988734261</v>
      </c>
      <c r="M6" s="116">
        <f t="shared" ref="M6:M9" si="3">J6/H6</f>
        <v>0.01332253785</v>
      </c>
      <c r="N6" s="116">
        <f t="shared" ref="N6:N9" si="4">K6/H6</f>
        <v>-0.007302849569</v>
      </c>
      <c r="O6" s="117">
        <f>E6/H6</f>
        <v>3.673956262</v>
      </c>
      <c r="P6" s="117">
        <v>275.77</v>
      </c>
      <c r="Q6" s="117">
        <v>0.0</v>
      </c>
      <c r="R6" s="118">
        <v>0.0657</v>
      </c>
      <c r="S6" s="119">
        <v>17.86</v>
      </c>
      <c r="T6" s="119">
        <v>85.69</v>
      </c>
      <c r="U6" s="119">
        <v>52.4</v>
      </c>
      <c r="V6" s="119">
        <f t="shared" ref="V6:V9" si="5">S6+T6-U6</f>
        <v>51.15</v>
      </c>
      <c r="W6" s="118">
        <v>-0.0176</v>
      </c>
      <c r="X6" s="118">
        <v>-0.0107</v>
      </c>
      <c r="Y6" s="120">
        <v>-0.0118</v>
      </c>
    </row>
    <row r="7">
      <c r="B7" s="121" t="s">
        <v>230</v>
      </c>
      <c r="C7" s="122" t="s">
        <v>231</v>
      </c>
      <c r="D7" s="123">
        <v>0.3</v>
      </c>
      <c r="E7" s="124">
        <f t="shared" ref="E7:F7" si="1">H7*O7</f>
        <v>7384.839</v>
      </c>
      <c r="F7" s="124">
        <f t="shared" si="1"/>
        <v>16682.6854</v>
      </c>
      <c r="G7" s="124">
        <v>1.9</v>
      </c>
      <c r="H7" s="124">
        <v>456.7</v>
      </c>
      <c r="I7" s="124">
        <v>330.94</v>
      </c>
      <c r="J7" s="124">
        <v>18.627</v>
      </c>
      <c r="K7" s="124">
        <v>13.332</v>
      </c>
      <c r="L7" s="125">
        <f t="shared" si="2"/>
        <v>0.7246332384</v>
      </c>
      <c r="M7" s="125">
        <f t="shared" si="3"/>
        <v>0.04078607401</v>
      </c>
      <c r="N7" s="125">
        <f t="shared" si="4"/>
        <v>0.02919202978</v>
      </c>
      <c r="O7" s="126">
        <v>16.17</v>
      </c>
      <c r="P7" s="126">
        <v>50.41</v>
      </c>
      <c r="Q7" s="126">
        <v>64.47</v>
      </c>
      <c r="R7" s="127">
        <v>0.117</v>
      </c>
      <c r="S7" s="128">
        <v>94.65</v>
      </c>
      <c r="T7" s="128">
        <v>16.52</v>
      </c>
      <c r="U7" s="128">
        <v>107.76</v>
      </c>
      <c r="V7" s="128">
        <f t="shared" si="5"/>
        <v>3.41</v>
      </c>
      <c r="W7" s="127">
        <v>0.2249</v>
      </c>
      <c r="X7" s="127">
        <v>0.1968</v>
      </c>
      <c r="Y7" s="129">
        <v>0.2073</v>
      </c>
    </row>
    <row r="8">
      <c r="B8" s="121" t="s">
        <v>232</v>
      </c>
      <c r="C8" s="122" t="s">
        <v>233</v>
      </c>
      <c r="D8" s="123">
        <v>0.35</v>
      </c>
      <c r="E8" s="124">
        <v>1230.0</v>
      </c>
      <c r="F8" s="124">
        <v>590.24</v>
      </c>
      <c r="G8" s="124">
        <v>1.5</v>
      </c>
      <c r="H8" s="124">
        <f>$E$8/O8</f>
        <v>1464.285714</v>
      </c>
      <c r="I8" s="124">
        <v>423.576</v>
      </c>
      <c r="J8" s="124">
        <f>E8/P8</f>
        <v>173.7288136</v>
      </c>
      <c r="K8" s="124">
        <v>6.512</v>
      </c>
      <c r="L8" s="125">
        <f t="shared" si="2"/>
        <v>0.2892714146</v>
      </c>
      <c r="M8" s="125">
        <f t="shared" si="3"/>
        <v>0.1186440678</v>
      </c>
      <c r="N8" s="125">
        <f t="shared" si="4"/>
        <v>0.004447219512</v>
      </c>
      <c r="O8" s="126">
        <v>0.84</v>
      </c>
      <c r="P8" s="126">
        <v>7.08</v>
      </c>
      <c r="Q8" s="126">
        <v>11.97</v>
      </c>
      <c r="R8" s="127">
        <v>0.1054</v>
      </c>
      <c r="S8" s="128">
        <v>44.64</v>
      </c>
      <c r="T8" s="128">
        <v>143.87</v>
      </c>
      <c r="U8" s="128">
        <v>51.64</v>
      </c>
      <c r="V8" s="128">
        <f t="shared" si="5"/>
        <v>136.87</v>
      </c>
      <c r="W8" s="127">
        <v>0.0054</v>
      </c>
      <c r="X8" s="127">
        <v>0.0029</v>
      </c>
      <c r="Y8" s="129">
        <v>0.0254</v>
      </c>
    </row>
    <row r="9">
      <c r="B9" s="130" t="s">
        <v>234</v>
      </c>
      <c r="C9" s="131" t="s">
        <v>235</v>
      </c>
      <c r="D9" s="132">
        <v>0.25</v>
      </c>
      <c r="E9" s="133">
        <v>3036.0</v>
      </c>
      <c r="F9" s="133">
        <v>2679.0</v>
      </c>
      <c r="G9" s="133">
        <v>1.37</v>
      </c>
      <c r="H9" s="133">
        <v>902.142</v>
      </c>
      <c r="I9" s="133">
        <v>385.214</v>
      </c>
      <c r="J9" s="133">
        <v>171.427</v>
      </c>
      <c r="K9" s="133">
        <v>106.09</v>
      </c>
      <c r="L9" s="134">
        <f t="shared" si="2"/>
        <v>0.4269992972</v>
      </c>
      <c r="M9" s="134">
        <f t="shared" si="3"/>
        <v>0.1900221916</v>
      </c>
      <c r="N9" s="134">
        <f t="shared" si="4"/>
        <v>0.1175978948</v>
      </c>
      <c r="O9" s="135">
        <f>$E$9/H9</f>
        <v>3.365323863</v>
      </c>
      <c r="P9" s="135">
        <f>E9/J9</f>
        <v>17.71016234</v>
      </c>
      <c r="Q9" s="135">
        <v>25.45</v>
      </c>
      <c r="R9" s="136">
        <v>0.0977</v>
      </c>
      <c r="S9" s="137">
        <v>39.23</v>
      </c>
      <c r="T9" s="137">
        <v>137.02</v>
      </c>
      <c r="U9" s="137">
        <v>56.49</v>
      </c>
      <c r="V9" s="137">
        <f t="shared" si="5"/>
        <v>119.76</v>
      </c>
      <c r="W9" s="136">
        <v>0.152</v>
      </c>
      <c r="X9" s="136">
        <v>0.0908</v>
      </c>
      <c r="Y9" s="138">
        <v>0.12</v>
      </c>
    </row>
    <row r="10">
      <c r="B10" s="139" t="s">
        <v>236</v>
      </c>
      <c r="C10" s="140"/>
      <c r="D10" s="140"/>
      <c r="E10" s="141">
        <f t="shared" ref="E10:Y10" si="6">AVERAGE(E6:E9)</f>
        <v>3605.70975</v>
      </c>
      <c r="F10" s="141">
        <f t="shared" si="6"/>
        <v>5532.98135</v>
      </c>
      <c r="G10" s="141">
        <f t="shared" si="6"/>
        <v>1.2375</v>
      </c>
      <c r="H10" s="141">
        <f t="shared" si="6"/>
        <v>894.4069286</v>
      </c>
      <c r="I10" s="141">
        <f t="shared" si="6"/>
        <v>379.0325</v>
      </c>
      <c r="J10" s="141">
        <f t="shared" si="6"/>
        <v>93.45866709</v>
      </c>
      <c r="K10" s="141">
        <f t="shared" si="6"/>
        <v>30.106</v>
      </c>
      <c r="L10" s="142">
        <f t="shared" si="6"/>
        <v>0.4849443441</v>
      </c>
      <c r="M10" s="142">
        <f t="shared" si="6"/>
        <v>0.09069371782</v>
      </c>
      <c r="N10" s="142">
        <f t="shared" si="6"/>
        <v>0.03598357363</v>
      </c>
      <c r="O10" s="143">
        <f t="shared" si="6"/>
        <v>6.012320031</v>
      </c>
      <c r="P10" s="143">
        <f t="shared" si="6"/>
        <v>87.74254059</v>
      </c>
      <c r="Q10" s="143">
        <f t="shared" si="6"/>
        <v>25.4725</v>
      </c>
      <c r="R10" s="144">
        <f t="shared" si="6"/>
        <v>0.09645</v>
      </c>
      <c r="S10" s="145">
        <f t="shared" si="6"/>
        <v>49.095</v>
      </c>
      <c r="T10" s="145">
        <f t="shared" si="6"/>
        <v>95.775</v>
      </c>
      <c r="U10" s="145">
        <f t="shared" si="6"/>
        <v>67.0725</v>
      </c>
      <c r="V10" s="145">
        <f t="shared" si="6"/>
        <v>77.7975</v>
      </c>
      <c r="W10" s="144">
        <f t="shared" si="6"/>
        <v>0.091175</v>
      </c>
      <c r="X10" s="144">
        <f t="shared" si="6"/>
        <v>0.06995</v>
      </c>
      <c r="Y10" s="146">
        <f t="shared" si="6"/>
        <v>0.085225</v>
      </c>
    </row>
    <row r="11">
      <c r="B11" s="139" t="s">
        <v>237</v>
      </c>
      <c r="C11" s="140"/>
      <c r="D11" s="140"/>
      <c r="E11" s="141">
        <f t="shared" ref="E11:Y11" si="7">MEDIAN(E6:E9)</f>
        <v>2904</v>
      </c>
      <c r="F11" s="141">
        <f t="shared" si="7"/>
        <v>2429.5</v>
      </c>
      <c r="G11" s="141">
        <f t="shared" si="7"/>
        <v>1.435</v>
      </c>
      <c r="H11" s="141">
        <f t="shared" si="7"/>
        <v>828.321</v>
      </c>
      <c r="I11" s="141">
        <f t="shared" si="7"/>
        <v>380.807</v>
      </c>
      <c r="J11" s="141">
        <f t="shared" si="7"/>
        <v>95.027</v>
      </c>
      <c r="K11" s="141">
        <f t="shared" si="7"/>
        <v>9.922</v>
      </c>
      <c r="L11" s="142">
        <f t="shared" si="7"/>
        <v>0.4629363617</v>
      </c>
      <c r="M11" s="142">
        <f t="shared" si="7"/>
        <v>0.0797150709</v>
      </c>
      <c r="N11" s="142">
        <f t="shared" si="7"/>
        <v>0.01681962465</v>
      </c>
      <c r="O11" s="143">
        <f t="shared" si="7"/>
        <v>3.519640062</v>
      </c>
      <c r="P11" s="143">
        <f t="shared" si="7"/>
        <v>34.06008117</v>
      </c>
      <c r="Q11" s="143">
        <f t="shared" si="7"/>
        <v>18.71</v>
      </c>
      <c r="R11" s="144">
        <f t="shared" si="7"/>
        <v>0.10155</v>
      </c>
      <c r="S11" s="145">
        <f t="shared" si="7"/>
        <v>41.935</v>
      </c>
      <c r="T11" s="145">
        <f t="shared" si="7"/>
        <v>111.355</v>
      </c>
      <c r="U11" s="145">
        <f t="shared" si="7"/>
        <v>54.445</v>
      </c>
      <c r="V11" s="145">
        <f t="shared" si="7"/>
        <v>85.455</v>
      </c>
      <c r="W11" s="144">
        <f t="shared" si="7"/>
        <v>0.0787</v>
      </c>
      <c r="X11" s="144">
        <f t="shared" si="7"/>
        <v>0.04685</v>
      </c>
      <c r="Y11" s="146">
        <f t="shared" si="7"/>
        <v>0.0727</v>
      </c>
    </row>
    <row r="12">
      <c r="B12" s="147" t="s">
        <v>238</v>
      </c>
      <c r="C12" s="148"/>
      <c r="D12" s="148"/>
      <c r="E12" s="149">
        <f t="shared" ref="E12:Y12" si="8">SUMPRODUCT($D$6:$D$9,E6:E9)</f>
        <v>3682.1517</v>
      </c>
      <c r="F12" s="149">
        <f t="shared" si="8"/>
        <v>6099.13962</v>
      </c>
      <c r="G12" s="149">
        <f t="shared" si="8"/>
        <v>1.4555</v>
      </c>
      <c r="H12" s="149">
        <f t="shared" si="8"/>
        <v>950.4955</v>
      </c>
      <c r="I12" s="149">
        <f t="shared" si="8"/>
        <v>381.4771</v>
      </c>
      <c r="J12" s="149">
        <f t="shared" si="8"/>
        <v>110.2551202</v>
      </c>
      <c r="K12" s="149">
        <f t="shared" si="8"/>
        <v>32.2503</v>
      </c>
      <c r="L12" s="150">
        <f t="shared" si="8"/>
        <v>0.4752721336</v>
      </c>
      <c r="M12" s="150">
        <f t="shared" si="8"/>
        <v>0.1025990476</v>
      </c>
      <c r="N12" s="150">
        <f t="shared" si="8"/>
        <v>0.0389833245</v>
      </c>
      <c r="O12" s="151">
        <f t="shared" si="8"/>
        <v>6.353726592</v>
      </c>
      <c r="P12" s="151">
        <f t="shared" si="8"/>
        <v>49.60554059</v>
      </c>
      <c r="Q12" s="151">
        <f t="shared" si="8"/>
        <v>29.893</v>
      </c>
      <c r="R12" s="150">
        <f t="shared" si="8"/>
        <v>0.102985</v>
      </c>
      <c r="S12" s="152">
        <f t="shared" si="8"/>
        <v>55.6125</v>
      </c>
      <c r="T12" s="152">
        <f t="shared" si="8"/>
        <v>98.1345</v>
      </c>
      <c r="U12" s="152">
        <f t="shared" si="8"/>
        <v>69.7645</v>
      </c>
      <c r="V12" s="152">
        <f t="shared" si="8"/>
        <v>83.9825</v>
      </c>
      <c r="W12" s="150">
        <f t="shared" si="8"/>
        <v>0.1056</v>
      </c>
      <c r="X12" s="150">
        <f t="shared" si="8"/>
        <v>0.081685</v>
      </c>
      <c r="Y12" s="153">
        <f t="shared" si="8"/>
        <v>0.0999</v>
      </c>
    </row>
    <row r="14">
      <c r="B14" s="1" t="s">
        <v>239</v>
      </c>
      <c r="C14" s="3"/>
    </row>
    <row r="16">
      <c r="B16" s="154" t="s">
        <v>240</v>
      </c>
      <c r="C16" s="155">
        <f>G12</f>
        <v>1.4555</v>
      </c>
    </row>
    <row r="17">
      <c r="B17" s="156" t="s">
        <v>241</v>
      </c>
      <c r="C17" s="157">
        <v>0.0415</v>
      </c>
    </row>
    <row r="18">
      <c r="B18" s="156" t="s">
        <v>242</v>
      </c>
      <c r="C18" s="157">
        <v>0.067</v>
      </c>
    </row>
    <row r="19">
      <c r="B19" s="156" t="s">
        <v>243</v>
      </c>
      <c r="C19" s="157">
        <v>0.07</v>
      </c>
    </row>
    <row r="20">
      <c r="B20" s="158" t="s">
        <v>244</v>
      </c>
      <c r="C20" s="159">
        <f>(C17+(C16*C18))+C19</f>
        <v>0.2090185</v>
      </c>
      <c r="D20" s="160"/>
    </row>
    <row r="21">
      <c r="I21" s="161"/>
    </row>
    <row r="22">
      <c r="J22" s="161"/>
    </row>
    <row r="23">
      <c r="J23" s="161"/>
    </row>
  </sheetData>
  <mergeCells count="9">
    <mergeCell ref="B2:C2"/>
    <mergeCell ref="B14:C14"/>
    <mergeCell ref="B4:D4"/>
    <mergeCell ref="E4:G4"/>
    <mergeCell ref="H4:K4"/>
    <mergeCell ref="L4:N4"/>
    <mergeCell ref="O4:Q4"/>
    <mergeCell ref="S4:V4"/>
    <mergeCell ref="W4:Y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/>
  </sheetViews>
  <sheetFormatPr customHeight="1" defaultColWidth="12.63" defaultRowHeight="15.0"/>
  <cols>
    <col customWidth="1" min="1" max="1" width="5.75"/>
    <col customWidth="1" min="2" max="2" width="50.0"/>
    <col customWidth="1" min="3" max="3" width="9.0"/>
    <col customWidth="1" min="4" max="9" width="21.38"/>
    <col customWidth="1" min="10" max="11" width="12.5"/>
    <col customWidth="1" min="12" max="27" width="8.38"/>
  </cols>
  <sheetData>
    <row r="1" ht="12.0" customHeight="1">
      <c r="A1" s="162"/>
      <c r="B1" s="15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2.0" customHeight="1">
      <c r="A2" s="163"/>
      <c r="B2" s="9" t="s">
        <v>245</v>
      </c>
      <c r="C2" s="9"/>
      <c r="D2" s="9"/>
      <c r="E2" s="9"/>
      <c r="F2" s="9"/>
      <c r="G2" s="9"/>
      <c r="H2" s="9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6.5" customHeight="1">
      <c r="A3" s="163"/>
      <c r="B3" s="13" t="s">
        <v>124</v>
      </c>
      <c r="C3" s="13"/>
      <c r="D3" s="13" t="s">
        <v>31</v>
      </c>
      <c r="E3" s="13" t="s">
        <v>32</v>
      </c>
      <c r="F3" s="13" t="s">
        <v>33</v>
      </c>
      <c r="G3" s="13" t="s">
        <v>34</v>
      </c>
      <c r="H3" s="13" t="s">
        <v>35</v>
      </c>
      <c r="I3" s="13" t="s">
        <v>36</v>
      </c>
      <c r="J3" s="14" t="s">
        <v>246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2.0" customHeight="1">
      <c r="A4" s="164"/>
      <c r="B4" s="31"/>
      <c r="C4" s="31"/>
      <c r="D4" s="31"/>
      <c r="E4" s="31" t="s">
        <v>38</v>
      </c>
      <c r="F4" s="31" t="s">
        <v>38</v>
      </c>
      <c r="G4" s="31" t="s">
        <v>38</v>
      </c>
      <c r="H4" s="31" t="s">
        <v>38</v>
      </c>
      <c r="I4" s="31" t="s">
        <v>38</v>
      </c>
      <c r="J4" s="7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2.0" customHeight="1">
      <c r="A5" s="165"/>
      <c r="B5" s="27"/>
      <c r="C5" s="27"/>
      <c r="D5" s="40"/>
      <c r="E5" s="40"/>
      <c r="F5" s="40"/>
      <c r="G5" s="40"/>
      <c r="H5" s="40"/>
      <c r="I5" s="4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2.0" customHeight="1">
      <c r="A6" s="165"/>
      <c r="B6" s="27" t="s">
        <v>149</v>
      </c>
      <c r="C6" s="27"/>
      <c r="D6" s="40">
        <f>'FE Income Statement'!B42</f>
        <v>-137604.3382</v>
      </c>
      <c r="E6" s="40">
        <f>'FE Income Statement'!C42</f>
        <v>-158611.8357</v>
      </c>
      <c r="F6" s="40">
        <f>'FE Income Statement'!D42</f>
        <v>231780.5295</v>
      </c>
      <c r="G6" s="40">
        <f>'FE Income Statement'!E42</f>
        <v>295841.6976</v>
      </c>
      <c r="H6" s="40">
        <f>'FE Income Statement'!F42</f>
        <v>671922.8138</v>
      </c>
      <c r="I6" s="40">
        <f>'FE Income Statement'!G42</f>
        <v>1180692.413</v>
      </c>
      <c r="J6" s="10" t="s">
        <v>247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2.0" customHeight="1">
      <c r="A7" s="165"/>
      <c r="B7" s="27" t="s">
        <v>248</v>
      </c>
      <c r="C7" s="27"/>
      <c r="D7" s="40" t="str">
        <f>'FE Income Statement'!B36</f>
        <v/>
      </c>
      <c r="E7" s="40">
        <f>'FE Income Statement'!C36</f>
        <v>12180.85138</v>
      </c>
      <c r="F7" s="40">
        <f>'FE Income Statement'!D36</f>
        <v>14263.03025</v>
      </c>
      <c r="G7" s="40">
        <f>'FE Income Statement'!E36</f>
        <v>18180.89163</v>
      </c>
      <c r="H7" s="40">
        <f>'FE Income Statement'!F36</f>
        <v>20182.20571</v>
      </c>
      <c r="I7" s="40">
        <f>'FE Income Statement'!G36</f>
        <v>23109.54849</v>
      </c>
      <c r="J7" s="10" t="s">
        <v>247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2.0" customHeight="1">
      <c r="A8" s="165"/>
      <c r="B8" s="27" t="s">
        <v>249</v>
      </c>
      <c r="C8" s="27"/>
      <c r="D8" s="40">
        <f>'Starting Data Set'!C7</f>
        <v>263922.25</v>
      </c>
      <c r="E8" s="40">
        <f>'Starting Data Set'!D7</f>
        <v>8292.199394</v>
      </c>
      <c r="F8" s="40">
        <f>'Starting Data Set'!E7</f>
        <v>15013.68626</v>
      </c>
      <c r="G8" s="40">
        <f>'Starting Data Set'!F7</f>
        <v>7646.578752</v>
      </c>
      <c r="H8" s="40">
        <f>'Starting Data Set'!G7</f>
        <v>13307.3889</v>
      </c>
      <c r="I8" s="40">
        <f>'Starting Data Set'!H7</f>
        <v>15393.66159</v>
      </c>
      <c r="J8" s="10" t="s">
        <v>250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2.0" customHeight="1">
      <c r="A9" s="165"/>
      <c r="B9" s="27" t="s">
        <v>251</v>
      </c>
      <c r="C9" s="27"/>
      <c r="D9" s="40">
        <f>'FE Balance Sheet'!C32</f>
        <v>32663.33377</v>
      </c>
      <c r="E9" s="40">
        <f>'FE Balance Sheet'!D32-'FE Balance Sheet'!C32</f>
        <v>434551.4341</v>
      </c>
      <c r="F9" s="40">
        <f>'FE Balance Sheet'!E32-'FE Balance Sheet'!D32</f>
        <v>266774.0796</v>
      </c>
      <c r="G9" s="40">
        <f>'FE Balance Sheet'!F32-'FE Balance Sheet'!E32</f>
        <v>212170.4919</v>
      </c>
      <c r="H9" s="40">
        <f>'FE Balance Sheet'!G32-'FE Balance Sheet'!F32</f>
        <v>375534.4811</v>
      </c>
      <c r="I9" s="40">
        <f>'FE Balance Sheet'!H32-'FE Balance Sheet'!G32</f>
        <v>532990.3607</v>
      </c>
      <c r="J9" s="10" t="s">
        <v>252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2.0" customHeight="1">
      <c r="A10" s="165"/>
      <c r="B10" s="27"/>
      <c r="C10" s="27"/>
      <c r="D10" s="27"/>
      <c r="E10" s="27"/>
      <c r="F10" s="27"/>
      <c r="G10" s="27"/>
      <c r="H10" s="27"/>
      <c r="I10" s="2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2.0" customHeight="1">
      <c r="A11" s="164"/>
      <c r="B11" s="101" t="s">
        <v>253</v>
      </c>
      <c r="C11" s="27"/>
      <c r="D11" s="37">
        <f t="shared" ref="D11:I11" si="1">D6+D7-D8-D9</f>
        <v>-434189.922</v>
      </c>
      <c r="E11" s="37">
        <f t="shared" si="1"/>
        <v>-589274.6178</v>
      </c>
      <c r="F11" s="37">
        <f t="shared" si="1"/>
        <v>-35744.20611</v>
      </c>
      <c r="G11" s="37">
        <f t="shared" si="1"/>
        <v>94205.51863</v>
      </c>
      <c r="H11" s="37">
        <f t="shared" si="1"/>
        <v>303263.1495</v>
      </c>
      <c r="I11" s="37">
        <f t="shared" si="1"/>
        <v>655417.9394</v>
      </c>
      <c r="J11" s="10" t="s">
        <v>254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2.0" customHeight="1">
      <c r="A12" s="165"/>
      <c r="B12" s="45"/>
      <c r="C12" s="27"/>
      <c r="D12" s="27"/>
      <c r="E12" s="27"/>
      <c r="F12" s="27"/>
      <c r="G12" s="27"/>
      <c r="H12" s="27"/>
      <c r="I12" s="27"/>
      <c r="J12" s="10"/>
      <c r="K12" s="10" t="s">
        <v>255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75" customHeight="1">
      <c r="A13" s="164"/>
      <c r="B13" s="101" t="s">
        <v>256</v>
      </c>
      <c r="C13" s="27"/>
      <c r="D13" s="27"/>
      <c r="E13" s="27"/>
      <c r="F13" s="27"/>
      <c r="G13" s="27"/>
      <c r="H13" s="166" t="s">
        <v>257</v>
      </c>
      <c r="I13" s="167">
        <f>(I11*(1.05^2))/('Starting Data Set'!C26-'Starting Data Set'!C29)</f>
        <v>1766664.046</v>
      </c>
      <c r="J13" s="10" t="s">
        <v>258</v>
      </c>
      <c r="K13" s="168"/>
      <c r="L13" s="168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2.0" customHeight="1">
      <c r="A14" s="165"/>
      <c r="B14" s="27"/>
      <c r="C14" s="27"/>
      <c r="D14" s="27"/>
      <c r="E14" s="27"/>
      <c r="F14" s="27"/>
      <c r="G14" s="27"/>
      <c r="H14" s="27"/>
      <c r="I14" s="2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75" customHeight="1">
      <c r="A15" s="169"/>
      <c r="B15" s="170" t="s">
        <v>259</v>
      </c>
      <c r="C15" s="171"/>
      <c r="D15" s="171">
        <f t="shared" ref="D15:H15" si="2">D11</f>
        <v>-434189.922</v>
      </c>
      <c r="E15" s="171">
        <f t="shared" si="2"/>
        <v>-589274.6178</v>
      </c>
      <c r="F15" s="171">
        <f t="shared" si="2"/>
        <v>-35744.20611</v>
      </c>
      <c r="G15" s="171">
        <f t="shared" si="2"/>
        <v>94205.51863</v>
      </c>
      <c r="H15" s="171">
        <f t="shared" si="2"/>
        <v>303263.1495</v>
      </c>
      <c r="I15" s="167">
        <f>I11+I13</f>
        <v>2422081.986</v>
      </c>
      <c r="J15" s="10">
        <f>I11*(1.02)</f>
        <v>668526.2982</v>
      </c>
      <c r="K15" s="10">
        <f>J15*(1.02)</f>
        <v>681896.8241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0" customHeight="1">
      <c r="A16" s="172"/>
      <c r="B16" s="10" t="s">
        <v>38</v>
      </c>
      <c r="C16" s="173" t="s">
        <v>38</v>
      </c>
      <c r="D16" s="78"/>
      <c r="E16" s="78"/>
      <c r="F16" s="78"/>
      <c r="G16" s="78"/>
      <c r="H16" s="78"/>
      <c r="I16" s="7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8.0" customHeight="1">
      <c r="A17" s="172"/>
      <c r="B17" s="174" t="s">
        <v>260</v>
      </c>
      <c r="C17" s="175"/>
      <c r="D17" s="176" t="str">
        <f t="shared" ref="D17:I17" si="3">IF(D15&lt;0,"NO","YES")</f>
        <v>NO</v>
      </c>
      <c r="E17" s="176" t="str">
        <f t="shared" si="3"/>
        <v>NO</v>
      </c>
      <c r="F17" s="176" t="str">
        <f t="shared" si="3"/>
        <v>NO</v>
      </c>
      <c r="G17" s="177" t="str">
        <f t="shared" si="3"/>
        <v>YES</v>
      </c>
      <c r="H17" s="177" t="str">
        <f t="shared" si="3"/>
        <v>YES</v>
      </c>
      <c r="I17" s="178" t="str">
        <f t="shared" si="3"/>
        <v>YES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8.0" customHeight="1">
      <c r="A18" s="172"/>
      <c r="B18" s="179" t="s">
        <v>261</v>
      </c>
      <c r="C18" s="180"/>
      <c r="D18" s="181">
        <v>0.0</v>
      </c>
      <c r="E18" s="181">
        <f t="shared" ref="E18:F18" si="4">IF(E15&lt;0,D18+1,D18+ABS(E15/D15))</f>
        <v>1</v>
      </c>
      <c r="F18" s="182">
        <f t="shared" si="4"/>
        <v>2</v>
      </c>
      <c r="G18" s="182">
        <f>IF(G15&lt;0,F18+1,(ABS(F15/G15)+F18))</f>
        <v>2.379427943</v>
      </c>
      <c r="H18" s="182">
        <f t="shared" ref="H18:I18" si="5">G18</f>
        <v>2.379427943</v>
      </c>
      <c r="I18" s="183">
        <f t="shared" si="5"/>
        <v>2.379427943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0" customHeight="1">
      <c r="A19" s="172"/>
      <c r="B19" s="10"/>
      <c r="C19" s="173"/>
      <c r="D19" s="78"/>
      <c r="E19" s="78"/>
      <c r="F19" s="78"/>
      <c r="G19" s="78"/>
      <c r="H19" s="78"/>
      <c r="I19" s="7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0" customHeight="1">
      <c r="A20" s="172"/>
      <c r="B20" s="174" t="s">
        <v>262</v>
      </c>
      <c r="C20" s="175"/>
      <c r="D20" s="184">
        <f>D11</f>
        <v>-434189.922</v>
      </c>
      <c r="E20" s="184">
        <f t="shared" ref="E20:I20" si="6">D20+E15</f>
        <v>-1023464.54</v>
      </c>
      <c r="F20" s="184">
        <f t="shared" si="6"/>
        <v>-1059208.746</v>
      </c>
      <c r="G20" s="184">
        <f t="shared" si="6"/>
        <v>-965003.2272</v>
      </c>
      <c r="H20" s="184">
        <f t="shared" si="6"/>
        <v>-661740.0777</v>
      </c>
      <c r="I20" s="185">
        <f t="shared" si="6"/>
        <v>1760341.908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8.0" customHeight="1">
      <c r="A21" s="172"/>
      <c r="B21" s="179" t="s">
        <v>261</v>
      </c>
      <c r="C21" s="180"/>
      <c r="D21" s="182">
        <v>0.0</v>
      </c>
      <c r="E21" s="182">
        <v>1.0</v>
      </c>
      <c r="F21" s="182">
        <v>2.0</v>
      </c>
      <c r="G21" s="182">
        <v>3.0</v>
      </c>
      <c r="H21" s="182">
        <v>4.0</v>
      </c>
      <c r="I21" s="183">
        <f>H21+(ABS(H20)/I20)</f>
        <v>4.375915653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8.0" customHeight="1">
      <c r="A22" s="172"/>
      <c r="B22" s="10"/>
      <c r="C22" s="10"/>
      <c r="D22" s="78"/>
      <c r="E22" s="186"/>
      <c r="F22" s="186" t="s">
        <v>38</v>
      </c>
      <c r="G22" s="186" t="s">
        <v>38</v>
      </c>
      <c r="H22" s="186"/>
      <c r="I22" s="187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8.0" customHeight="1">
      <c r="A23" s="172"/>
      <c r="B23" s="10"/>
      <c r="C23" s="10"/>
      <c r="D23" s="78"/>
      <c r="E23" s="186"/>
      <c r="F23" s="186"/>
      <c r="G23" s="186"/>
      <c r="H23" s="186"/>
      <c r="I23" s="187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163"/>
      <c r="B24" s="188" t="s">
        <v>263</v>
      </c>
      <c r="C24" s="10"/>
      <c r="D24" s="189">
        <f t="array" ref="D24">NPV('Starting Data Set'!C26,'FE Cash Flow'!E15:I15)+D15</f>
        <v>186812.1636</v>
      </c>
      <c r="E24" s="190"/>
      <c r="F24" s="191" t="s">
        <v>38</v>
      </c>
      <c r="G24" s="190" t="s">
        <v>38</v>
      </c>
      <c r="H24" s="190" t="s">
        <v>38</v>
      </c>
      <c r="I24" s="190" t="s">
        <v>38</v>
      </c>
      <c r="J24" s="81" t="s">
        <v>264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0" customHeight="1">
      <c r="A25" s="172"/>
      <c r="B25" s="10" t="s">
        <v>38</v>
      </c>
      <c r="C25" s="10" t="s">
        <v>38</v>
      </c>
      <c r="D25" s="192"/>
      <c r="E25" s="193"/>
      <c r="F25" s="81"/>
      <c r="G25" s="81"/>
      <c r="H25" s="194"/>
      <c r="I25" s="190" t="s">
        <v>38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8.75" customHeight="1">
      <c r="A26" s="163"/>
      <c r="B26" s="188" t="s">
        <v>265</v>
      </c>
      <c r="C26" s="10"/>
      <c r="D26" s="195">
        <f>IRR(D15:I15)</f>
        <v>0.2618391087</v>
      </c>
      <c r="E26" s="81"/>
      <c r="F26" s="81"/>
      <c r="G26" s="81"/>
      <c r="H26" s="81"/>
      <c r="I26" s="190" t="s">
        <v>38</v>
      </c>
      <c r="J26" s="10" t="s">
        <v>266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2.0" customHeight="1">
      <c r="A27" s="10"/>
      <c r="B27" s="10"/>
      <c r="C27" s="12"/>
      <c r="D27" s="196"/>
      <c r="E27" s="81"/>
      <c r="F27" s="81"/>
      <c r="G27" s="81"/>
      <c r="H27" s="81"/>
      <c r="I27" s="190" t="s">
        <v>38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2.0" customHeight="1">
      <c r="A28" s="10"/>
      <c r="B28" s="10"/>
      <c r="C28" s="12"/>
      <c r="D28" s="197"/>
      <c r="E28" s="86"/>
      <c r="F28" s="81"/>
      <c r="G28" s="81"/>
      <c r="H28" s="81"/>
      <c r="I28" s="19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2.0" customHeight="1">
      <c r="A29" s="10"/>
      <c r="B29" s="10"/>
      <c r="C29" s="10"/>
      <c r="D29" s="10"/>
      <c r="E29" s="80"/>
      <c r="F29" s="10"/>
      <c r="G29" s="10"/>
      <c r="H29" s="10"/>
      <c r="I29" s="8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2.0" customHeight="1">
      <c r="A30" s="10"/>
      <c r="B30" s="10"/>
      <c r="C30" s="10"/>
      <c r="D30" s="10"/>
      <c r="E30" s="80"/>
      <c r="F30" s="10"/>
      <c r="G30" s="10"/>
      <c r="H30" s="10"/>
      <c r="I30" s="8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2.0" customHeight="1">
      <c r="A31" s="10"/>
      <c r="B31" s="10"/>
      <c r="C31" s="10"/>
      <c r="D31" s="10"/>
      <c r="E31" s="80"/>
      <c r="F31" s="10"/>
      <c r="G31" s="10"/>
      <c r="H31" s="10"/>
      <c r="I31" s="8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2.0" customHeight="1">
      <c r="A32" s="10"/>
      <c r="B32" s="10"/>
      <c r="C32" s="10"/>
      <c r="D32" s="10"/>
      <c r="E32" s="80"/>
      <c r="F32" s="10"/>
      <c r="G32" s="10"/>
      <c r="H32" s="10"/>
      <c r="I32" s="8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2.0" customHeight="1">
      <c r="A33" s="10"/>
      <c r="B33" s="10"/>
      <c r="C33" s="80"/>
      <c r="D33" s="12"/>
      <c r="E33" s="80"/>
      <c r="F33" s="10"/>
      <c r="G33" s="10"/>
      <c r="H33" s="10"/>
      <c r="I33" s="8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2.0" customHeight="1">
      <c r="A34" s="10"/>
      <c r="B34" s="10"/>
      <c r="C34" s="80"/>
      <c r="D34" s="12"/>
      <c r="E34" s="10"/>
      <c r="F34" s="10"/>
      <c r="G34" s="10"/>
      <c r="H34" s="10"/>
      <c r="I34" s="8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2.0" customHeight="1">
      <c r="A35" s="10"/>
      <c r="B35" s="10"/>
      <c r="C35" s="80"/>
      <c r="D35" s="12"/>
      <c r="E35" s="10"/>
      <c r="F35" s="10"/>
      <c r="G35" s="10"/>
      <c r="H35" s="10"/>
      <c r="I35" s="8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2.0" customHeight="1">
      <c r="A36" s="10"/>
      <c r="B36" s="10"/>
      <c r="C36" s="10"/>
      <c r="D36" s="19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2.0" customHeight="1">
      <c r="A37" s="10"/>
      <c r="B37" s="10"/>
      <c r="C37" s="80"/>
      <c r="D37" s="12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2.0" customHeight="1">
      <c r="A38" s="10"/>
      <c r="B38" s="10"/>
      <c r="C38" s="80"/>
      <c r="D38" s="12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2.0" customHeight="1">
      <c r="A39" s="10"/>
      <c r="B39" s="10"/>
      <c r="C39" s="80"/>
      <c r="D39" s="12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2.0" customHeight="1">
      <c r="A40" s="10"/>
      <c r="B40" s="10"/>
      <c r="C40" s="10"/>
      <c r="D40" s="198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2.0" customHeight="1">
      <c r="A41" s="10"/>
      <c r="B41" s="10"/>
      <c r="C41" s="80"/>
      <c r="D41" s="12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2.0" customHeight="1">
      <c r="A42" s="10"/>
      <c r="B42" s="10"/>
      <c r="C42" s="80"/>
      <c r="D42" s="12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2.0" customHeight="1">
      <c r="A43" s="10"/>
      <c r="B43" s="10"/>
      <c r="C43" s="80"/>
      <c r="D43" s="12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2.0" customHeight="1">
      <c r="A44" s="10"/>
      <c r="B44" s="10"/>
      <c r="C44" s="10"/>
      <c r="D44" s="19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2.0" customHeight="1">
      <c r="A45" s="10"/>
      <c r="B45" s="10"/>
      <c r="C45" s="10"/>
      <c r="D45" s="198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2.0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2.0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2.0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2.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2.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2.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2.0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2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2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2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2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2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2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2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2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2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2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2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2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2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2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2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2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2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2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2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2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2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2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2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2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2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2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2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2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2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2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2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2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2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2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2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2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2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2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2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2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2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2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2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2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2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2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2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2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2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2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2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2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2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2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2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2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2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2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2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2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2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2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2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2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2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2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2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2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2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2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2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2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2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2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2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2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2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2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2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2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2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2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2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2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2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2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2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2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2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2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2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2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2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2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2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2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2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2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2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2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2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2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2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2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2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2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2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2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2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2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2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2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2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2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2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2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2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2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2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2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2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2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2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2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2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2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2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2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2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2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2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2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2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2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2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2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2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2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2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2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2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2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2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2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2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2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2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2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2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2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2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2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2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2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2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2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2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2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2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2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2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2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2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2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2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2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2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2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2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2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2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2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2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2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2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2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2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2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2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2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2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2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2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2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2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2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2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2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2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2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2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2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2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2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2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2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2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2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2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2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2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2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2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2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2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2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2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2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2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2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2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2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2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2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2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2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2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2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2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2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2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2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2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2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2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2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2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2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2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2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2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2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2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2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2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2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2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2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2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2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2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2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2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2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2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2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2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2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2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2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2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2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2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2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2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2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2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2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2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2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2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2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2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2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2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2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2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2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2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2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2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2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2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2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2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2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2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2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2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2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2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2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2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2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2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2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2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2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2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2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2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2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2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2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2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2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2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2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2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2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2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2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2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2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2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2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2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2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2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2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2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2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2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2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2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2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2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2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2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2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2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2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2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2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2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2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2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2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2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2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2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2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2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2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2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2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2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2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2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2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2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2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2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2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2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2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2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2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2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2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2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2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2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2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2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2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2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2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2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2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2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2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2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2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2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2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2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2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2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2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2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2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2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2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2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2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2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2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2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2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2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2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2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2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2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2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2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2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2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2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2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2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2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2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2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2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2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2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2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2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2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2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2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2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2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2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2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2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2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2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2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2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2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2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2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2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2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2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2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2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2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2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2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2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2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2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2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2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2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2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2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2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2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2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2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2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2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2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2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2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2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2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2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2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2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2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2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2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2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2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2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2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2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2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2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2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2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2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2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2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2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2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2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2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2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2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2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2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2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2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2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2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2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2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2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2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2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2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2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2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2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2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2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2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2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2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2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2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2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2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2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2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2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2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2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2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2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2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2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2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2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2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2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2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2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2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2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2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2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2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2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2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2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2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2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2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2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2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2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2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2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2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2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2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2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2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2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2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2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2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2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2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2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2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2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2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2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2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2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2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2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2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2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2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2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2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2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2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2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2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2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2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2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2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2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2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2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2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2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2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2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2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2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2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2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2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2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2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2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2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2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2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2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2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2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2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2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2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2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2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2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2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2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2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2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2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2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2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2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2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2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2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2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2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2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2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2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2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2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2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2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2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2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2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2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2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2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2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2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2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2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2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2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2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2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2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2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2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2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2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2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2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2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2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2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2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2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2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2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2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2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2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2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2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2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2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2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2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2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2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2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2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2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2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2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2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2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2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2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2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2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2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2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2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2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2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2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2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2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2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2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2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2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2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2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2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2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2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2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2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2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2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2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2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2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2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2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2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2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2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2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2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2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2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2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2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2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2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2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2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2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2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2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2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2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2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2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2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2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2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2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2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2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2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2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2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2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2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2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2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2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2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2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2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2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2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2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2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2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2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2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2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2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2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2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2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2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2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2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2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2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2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2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2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2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2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2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2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2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2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2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2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2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2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2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2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2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2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2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2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2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2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2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2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2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2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2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2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2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2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2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2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2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2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2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2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2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2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2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2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2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2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2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2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2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2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2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2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2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2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2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2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2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2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2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2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2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2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2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2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2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2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2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2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2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2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2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2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2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2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2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2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2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2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2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2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2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2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2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2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2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2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2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2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2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2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2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2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2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2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2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2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2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2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2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2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2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2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2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2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2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2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2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2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2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2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2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2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2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2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2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2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2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2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2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2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2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2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2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2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2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2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2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2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2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2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2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2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2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2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2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2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2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2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2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2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2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2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2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2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2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2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2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2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2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2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2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2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2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2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2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2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2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2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2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2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2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2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2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2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2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2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2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2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2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2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2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2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2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2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2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2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2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2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2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2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2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2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2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2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2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2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2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2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2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2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2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2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2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2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2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2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2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2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2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2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2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2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2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2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2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2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2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2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2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2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2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2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2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2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</sheetData>
  <conditionalFormatting sqref="D17:F17">
    <cfRule type="containsText" dxfId="0" priority="1" operator="containsText" text="NO">
      <formula>NOT(ISERROR(SEARCH(("NO"),(D17))))</formula>
    </cfRule>
  </conditionalFormatting>
  <conditionalFormatting sqref="D17:F17">
    <cfRule type="containsText" dxfId="1" priority="2" operator="containsText" text="YES">
      <formula>NOT(ISERROR(SEARCH(("YES"),(D17))))</formula>
    </cfRule>
  </conditionalFormatting>
  <conditionalFormatting sqref="G17:I17">
    <cfRule type="containsText" dxfId="2" priority="3" operator="containsText" text="YES">
      <formula>NOT(ISERROR(SEARCH(("YES"),(G17))))</formula>
    </cfRule>
  </conditionalFormatting>
  <conditionalFormatting sqref="G17:I17">
    <cfRule type="containsText" dxfId="0" priority="4" operator="containsText" text="NO">
      <formula>NOT(ISERROR(SEARCH(("NO"),(G17))))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7.0"/>
    <col customWidth="1" min="3" max="3" width="26.88"/>
    <col customWidth="1" min="4" max="4" width="10.63"/>
    <col customWidth="1" min="5" max="5" width="16.88"/>
    <col customWidth="1" min="6" max="6" width="4.75"/>
    <col customWidth="1" min="7" max="7" width="8.63"/>
    <col customWidth="1" min="8" max="8" width="15.0"/>
    <col customWidth="1" min="9" max="10" width="8.63"/>
    <col customWidth="1" min="11" max="11" width="15.38"/>
    <col customWidth="1" min="12" max="14" width="20.63"/>
    <col customWidth="1" min="15" max="15" width="20.38"/>
    <col customWidth="1" min="16" max="26" width="8.63"/>
  </cols>
  <sheetData>
    <row r="1" ht="14.25" customHeight="1"/>
    <row r="2" ht="14.25" customHeight="1">
      <c r="B2" s="1" t="s">
        <v>267</v>
      </c>
      <c r="C2" s="3"/>
      <c r="E2" s="199" t="s">
        <v>268</v>
      </c>
      <c r="F2" s="200"/>
      <c r="G2" s="201" t="s">
        <v>269</v>
      </c>
      <c r="H2" s="202" t="s">
        <v>270</v>
      </c>
      <c r="K2" s="203" t="s">
        <v>271</v>
      </c>
      <c r="L2" s="204" t="s">
        <v>272</v>
      </c>
      <c r="M2" s="204" t="s">
        <v>273</v>
      </c>
      <c r="N2" s="204" t="s">
        <v>274</v>
      </c>
      <c r="O2" s="204" t="s">
        <v>275</v>
      </c>
    </row>
    <row r="3" ht="14.25" customHeight="1">
      <c r="E3" s="205" t="s">
        <v>276</v>
      </c>
      <c r="F3" s="206"/>
      <c r="G3" s="207">
        <v>0.12</v>
      </c>
      <c r="H3" s="208">
        <f>G3/G5</f>
        <v>0.8571428571</v>
      </c>
      <c r="K3" s="204" t="s">
        <v>277</v>
      </c>
      <c r="L3" s="209">
        <v>0.0</v>
      </c>
      <c r="M3" s="210">
        <v>15000.0</v>
      </c>
      <c r="N3" s="211">
        <v>500.0</v>
      </c>
      <c r="O3" s="211">
        <v>2000.0</v>
      </c>
    </row>
    <row r="4" ht="14.25" customHeight="1">
      <c r="B4" s="1" t="s">
        <v>278</v>
      </c>
      <c r="C4" s="3"/>
      <c r="E4" s="212" t="s">
        <v>279</v>
      </c>
      <c r="F4" s="213"/>
      <c r="G4" s="214">
        <v>0.02</v>
      </c>
      <c r="H4" s="215">
        <f>G4/G5</f>
        <v>0.1428571429</v>
      </c>
      <c r="K4" s="204" t="s">
        <v>280</v>
      </c>
      <c r="L4" s="210">
        <v>15000.0</v>
      </c>
      <c r="M4" s="210">
        <v>75000.0</v>
      </c>
      <c r="N4" s="211">
        <v>1000.0</v>
      </c>
      <c r="O4" s="211">
        <v>8000.0</v>
      </c>
    </row>
    <row r="5" ht="14.25" customHeight="1">
      <c r="B5" s="216" t="s">
        <v>281</v>
      </c>
      <c r="C5" s="217">
        <v>1.341276216E7</v>
      </c>
      <c r="E5" s="218" t="s">
        <v>282</v>
      </c>
      <c r="F5" s="219"/>
      <c r="G5" s="220">
        <f>C9</f>
        <v>0.14</v>
      </c>
      <c r="H5" s="221">
        <f>SUM(H3:H4)</f>
        <v>1</v>
      </c>
      <c r="K5" s="204" t="s">
        <v>283</v>
      </c>
      <c r="L5" s="210">
        <v>75000.0</v>
      </c>
      <c r="M5" s="210">
        <v>250000.0</v>
      </c>
      <c r="N5" s="211">
        <v>5000.0</v>
      </c>
      <c r="O5" s="211">
        <v>20000.0</v>
      </c>
    </row>
    <row r="6" ht="14.25" customHeight="1">
      <c r="B6" s="218" t="s">
        <v>284</v>
      </c>
      <c r="C6" s="222">
        <v>0.0125</v>
      </c>
      <c r="K6" s="204" t="s">
        <v>285</v>
      </c>
      <c r="L6" s="210">
        <v>250000.0</v>
      </c>
      <c r="M6" s="210">
        <v>1000000.0</v>
      </c>
      <c r="N6" s="211">
        <v>20000.0</v>
      </c>
      <c r="O6" s="211">
        <v>45000.0</v>
      </c>
    </row>
    <row r="7" ht="14.25" customHeight="1">
      <c r="E7" s="199" t="s">
        <v>33</v>
      </c>
      <c r="F7" s="200"/>
      <c r="G7" s="201" t="s">
        <v>269</v>
      </c>
      <c r="H7" s="202" t="s">
        <v>270</v>
      </c>
      <c r="K7" s="204" t="s">
        <v>286</v>
      </c>
      <c r="L7" s="210">
        <v>1000000.0</v>
      </c>
      <c r="M7" s="210">
        <v>1.0E9</v>
      </c>
      <c r="N7" s="211">
        <v>45000.0</v>
      </c>
      <c r="O7" s="223">
        <v>5.0E7</v>
      </c>
    </row>
    <row r="8" ht="14.25" customHeight="1">
      <c r="B8" s="1" t="s">
        <v>287</v>
      </c>
      <c r="C8" s="224"/>
      <c r="E8" s="205" t="s">
        <v>276</v>
      </c>
      <c r="F8" s="206"/>
      <c r="G8" s="207">
        <v>0.12</v>
      </c>
      <c r="H8" s="208">
        <f>G8/G10</f>
        <v>0.7058823529</v>
      </c>
    </row>
    <row r="9" ht="14.25" customHeight="1">
      <c r="B9" s="225" t="s">
        <v>288</v>
      </c>
      <c r="C9" s="208">
        <v>0.14</v>
      </c>
      <c r="E9" s="212" t="s">
        <v>279</v>
      </c>
      <c r="F9" s="213"/>
      <c r="G9" s="214">
        <f>G10-G8</f>
        <v>0.05</v>
      </c>
      <c r="H9" s="215">
        <f>G9/G10</f>
        <v>0.2941176471</v>
      </c>
    </row>
    <row r="10" ht="14.25" customHeight="1">
      <c r="B10" s="216" t="s">
        <v>289</v>
      </c>
      <c r="C10" s="215">
        <v>0.17</v>
      </c>
      <c r="E10" s="218" t="s">
        <v>282</v>
      </c>
      <c r="F10" s="219"/>
      <c r="G10" s="220">
        <f>C10</f>
        <v>0.17</v>
      </c>
      <c r="H10" s="221">
        <f>SUM(H8:H9)</f>
        <v>1</v>
      </c>
    </row>
    <row r="11" ht="14.25" customHeight="1">
      <c r="B11" s="216" t="s">
        <v>290</v>
      </c>
      <c r="C11" s="215">
        <v>0.22</v>
      </c>
    </row>
    <row r="12" ht="14.25" customHeight="1">
      <c r="B12" s="216" t="s">
        <v>291</v>
      </c>
      <c r="C12" s="215">
        <v>0.27</v>
      </c>
      <c r="E12" s="199" t="s">
        <v>34</v>
      </c>
      <c r="F12" s="200"/>
      <c r="G12" s="201" t="s">
        <v>269</v>
      </c>
      <c r="H12" s="202" t="s">
        <v>270</v>
      </c>
    </row>
    <row r="13" ht="14.25" customHeight="1">
      <c r="B13" s="218" t="s">
        <v>292</v>
      </c>
      <c r="C13" s="226">
        <v>0.33</v>
      </c>
      <c r="E13" s="212" t="s">
        <v>276</v>
      </c>
      <c r="F13" s="213"/>
      <c r="G13" s="214">
        <v>0.12</v>
      </c>
      <c r="H13" s="215">
        <f t="shared" ref="H13:H15" si="1">G13/$G$16</f>
        <v>0.5454545455</v>
      </c>
    </row>
    <row r="14" ht="14.25" customHeight="1">
      <c r="E14" s="212" t="s">
        <v>279</v>
      </c>
      <c r="F14" s="213"/>
      <c r="G14" s="214">
        <v>0.08</v>
      </c>
      <c r="H14" s="215">
        <f t="shared" si="1"/>
        <v>0.3636363636</v>
      </c>
    </row>
    <row r="15" ht="14.25" customHeight="1">
      <c r="B15" s="1" t="s">
        <v>293</v>
      </c>
      <c r="C15" s="3"/>
      <c r="E15" s="212" t="s">
        <v>294</v>
      </c>
      <c r="F15" s="213"/>
      <c r="G15" s="214">
        <f>G16-G14-G13</f>
        <v>0.02</v>
      </c>
      <c r="H15" s="215">
        <f t="shared" si="1"/>
        <v>0.09090909091</v>
      </c>
    </row>
    <row r="16" ht="14.25" customHeight="1">
      <c r="B16" s="225" t="s">
        <v>295</v>
      </c>
      <c r="C16" s="227">
        <v>0.5</v>
      </c>
      <c r="E16" s="218" t="s">
        <v>282</v>
      </c>
      <c r="F16" s="219"/>
      <c r="G16" s="220">
        <f>C11</f>
        <v>0.22</v>
      </c>
      <c r="H16" s="221">
        <f>SUM(H13:H15)</f>
        <v>1</v>
      </c>
    </row>
    <row r="17" ht="14.25" customHeight="1">
      <c r="B17" s="216" t="s">
        <v>296</v>
      </c>
      <c r="C17" s="228">
        <v>0.45</v>
      </c>
    </row>
    <row r="18" ht="14.25" customHeight="1">
      <c r="B18" s="216" t="s">
        <v>297</v>
      </c>
      <c r="C18" s="228">
        <v>0.45</v>
      </c>
      <c r="E18" s="199" t="s">
        <v>35</v>
      </c>
      <c r="F18" s="200"/>
      <c r="G18" s="201" t="s">
        <v>269</v>
      </c>
      <c r="H18" s="202" t="s">
        <v>270</v>
      </c>
    </row>
    <row r="19" ht="14.25" customHeight="1">
      <c r="B19" s="218" t="s">
        <v>298</v>
      </c>
      <c r="C19" s="222">
        <v>0.4</v>
      </c>
      <c r="E19" s="212" t="s">
        <v>295</v>
      </c>
      <c r="F19" s="213"/>
      <c r="G19" s="214">
        <v>0.12</v>
      </c>
      <c r="H19" s="215">
        <f t="shared" ref="H19:H22" si="2">G19/$G$23</f>
        <v>0.4444444444</v>
      </c>
    </row>
    <row r="20" ht="14.25" customHeight="1">
      <c r="E20" s="212" t="s">
        <v>299</v>
      </c>
      <c r="F20" s="213"/>
      <c r="G20" s="214">
        <v>0.08</v>
      </c>
      <c r="H20" s="215">
        <f t="shared" si="2"/>
        <v>0.2962962963</v>
      </c>
    </row>
    <row r="21" ht="14.25" customHeight="1">
      <c r="B21" s="1" t="s">
        <v>300</v>
      </c>
      <c r="C21" s="3"/>
      <c r="E21" s="212" t="s">
        <v>301</v>
      </c>
      <c r="F21" s="213"/>
      <c r="G21" s="214">
        <f>G23-G22-G20-G19</f>
        <v>0.04</v>
      </c>
      <c r="H21" s="215">
        <f t="shared" si="2"/>
        <v>0.1481481481</v>
      </c>
    </row>
    <row r="22" ht="14.25" customHeight="1">
      <c r="B22" s="225" t="s">
        <v>288</v>
      </c>
      <c r="C22" s="208">
        <v>0.0</v>
      </c>
      <c r="E22" s="212" t="s">
        <v>298</v>
      </c>
      <c r="F22" s="213"/>
      <c r="G22" s="214">
        <v>0.03</v>
      </c>
      <c r="H22" s="215">
        <f t="shared" si="2"/>
        <v>0.1111111111</v>
      </c>
    </row>
    <row r="23" ht="14.25" customHeight="1">
      <c r="B23" s="216" t="s">
        <v>289</v>
      </c>
      <c r="C23" s="215">
        <v>0.0</v>
      </c>
      <c r="E23" s="218" t="s">
        <v>302</v>
      </c>
      <c r="F23" s="219"/>
      <c r="G23" s="220">
        <f>C12</f>
        <v>0.27</v>
      </c>
      <c r="H23" s="221">
        <f>SUM(H19:H22)</f>
        <v>1</v>
      </c>
    </row>
    <row r="24" ht="14.25" customHeight="1">
      <c r="B24" s="216" t="s">
        <v>290</v>
      </c>
      <c r="C24" s="215">
        <v>0.2</v>
      </c>
    </row>
    <row r="25" ht="14.25" customHeight="1">
      <c r="B25" s="216" t="s">
        <v>291</v>
      </c>
      <c r="C25" s="215">
        <v>0.3</v>
      </c>
      <c r="E25" s="199" t="s">
        <v>36</v>
      </c>
      <c r="F25" s="200"/>
      <c r="G25" s="201" t="s">
        <v>269</v>
      </c>
      <c r="H25" s="202" t="s">
        <v>270</v>
      </c>
    </row>
    <row r="26" ht="14.25" customHeight="1">
      <c r="B26" s="218" t="s">
        <v>292</v>
      </c>
      <c r="C26" s="226">
        <v>0.35</v>
      </c>
      <c r="E26" s="212" t="s">
        <v>295</v>
      </c>
      <c r="F26" s="213"/>
      <c r="G26" s="214">
        <v>0.12</v>
      </c>
      <c r="H26" s="215">
        <f t="shared" ref="H26:H29" si="3">G26/$G$30</f>
        <v>0.3636363636</v>
      </c>
    </row>
    <row r="27" ht="14.25" customHeight="1">
      <c r="E27" s="212" t="s">
        <v>299</v>
      </c>
      <c r="F27" s="213"/>
      <c r="G27" s="214">
        <v>0.09</v>
      </c>
      <c r="H27" s="215">
        <f t="shared" si="3"/>
        <v>0.2727272727</v>
      </c>
    </row>
    <row r="28" ht="14.25" customHeight="1">
      <c r="B28" s="53" t="s">
        <v>303</v>
      </c>
      <c r="C28" s="55" t="s">
        <v>304</v>
      </c>
      <c r="E28" s="212" t="s">
        <v>301</v>
      </c>
      <c r="F28" s="213"/>
      <c r="G28" s="214">
        <f>G30-G29-G27-G26</f>
        <v>0.08</v>
      </c>
      <c r="H28" s="215">
        <f t="shared" si="3"/>
        <v>0.2424242424</v>
      </c>
    </row>
    <row r="29" ht="14.25" customHeight="1">
      <c r="B29" s="229" t="s">
        <v>295</v>
      </c>
      <c r="C29" s="230">
        <v>70.0</v>
      </c>
      <c r="E29" s="212" t="s">
        <v>298</v>
      </c>
      <c r="F29" s="213"/>
      <c r="G29" s="214">
        <v>0.04</v>
      </c>
      <c r="H29" s="215">
        <f t="shared" si="3"/>
        <v>0.1212121212</v>
      </c>
    </row>
    <row r="30" ht="14.25" customHeight="1">
      <c r="B30" s="231" t="s">
        <v>299</v>
      </c>
      <c r="C30" s="232">
        <v>70.0</v>
      </c>
      <c r="E30" s="218" t="s">
        <v>302</v>
      </c>
      <c r="F30" s="219"/>
      <c r="G30" s="220">
        <f>C13</f>
        <v>0.33</v>
      </c>
      <c r="H30" s="221">
        <f>SUM(H26:H29)</f>
        <v>1</v>
      </c>
    </row>
    <row r="31" ht="14.25" customHeight="1">
      <c r="B31" s="231" t="s">
        <v>301</v>
      </c>
      <c r="C31" s="232">
        <f t="shared" ref="C31:C32" si="4">C30*(1-0.1)</f>
        <v>63</v>
      </c>
    </row>
    <row r="32" ht="14.25" customHeight="1">
      <c r="B32" s="233" t="s">
        <v>298</v>
      </c>
      <c r="C32" s="234">
        <f t="shared" si="4"/>
        <v>56.7</v>
      </c>
    </row>
    <row r="33" ht="14.25" customHeight="1"/>
    <row r="34" ht="14.25" customHeight="1">
      <c r="C34" s="235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15:C15"/>
    <mergeCell ref="B21:C21"/>
    <mergeCell ref="B2:C2"/>
    <mergeCell ref="E2:F2"/>
    <mergeCell ref="B4:C4"/>
    <mergeCell ref="E7:F7"/>
    <mergeCell ref="B8:C8"/>
    <mergeCell ref="E12:F12"/>
    <mergeCell ref="E18:F18"/>
    <mergeCell ref="E25:F2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6.88"/>
    <col customWidth="1" min="3" max="3" width="38.13"/>
    <col customWidth="1" min="4" max="6" width="29.0"/>
    <col customWidth="1" min="7" max="7" width="8.63"/>
    <col customWidth="1" min="8" max="8" width="18.38"/>
    <col customWidth="1" min="9" max="9" width="8.63"/>
    <col customWidth="1" min="10" max="10" width="15.0"/>
    <col customWidth="1" min="11" max="26" width="8.63"/>
  </cols>
  <sheetData>
    <row r="1" ht="14.25" customHeight="1"/>
    <row r="2" ht="14.25" customHeight="1">
      <c r="B2" s="1" t="s">
        <v>305</v>
      </c>
      <c r="C2" s="3"/>
    </row>
    <row r="3" ht="14.25" customHeight="1">
      <c r="J3" s="236" t="s">
        <v>306</v>
      </c>
    </row>
    <row r="4" ht="14.25" customHeight="1">
      <c r="B4" s="237" t="s">
        <v>307</v>
      </c>
      <c r="C4" s="238">
        <f>'MK Assumptions'!C9*J4</f>
        <v>0.14</v>
      </c>
      <c r="D4" s="239"/>
      <c r="E4" s="239"/>
      <c r="F4" s="239"/>
      <c r="J4" s="240">
        <v>1.0</v>
      </c>
    </row>
    <row r="5" ht="14.25" customHeight="1">
      <c r="B5" s="179"/>
      <c r="C5" s="57" t="s">
        <v>308</v>
      </c>
      <c r="D5" s="57" t="s">
        <v>309</v>
      </c>
      <c r="E5" s="57" t="s">
        <v>310</v>
      </c>
      <c r="F5" s="58" t="s">
        <v>311</v>
      </c>
    </row>
    <row r="6" ht="14.25" customHeight="1">
      <c r="B6" s="241" t="s">
        <v>312</v>
      </c>
      <c r="C6" s="214">
        <f>'MK Assumptions'!G3</f>
        <v>0.12</v>
      </c>
      <c r="D6" s="214">
        <f>'MK Assumptions'!G4</f>
        <v>0.02</v>
      </c>
      <c r="E6" s="242"/>
      <c r="F6" s="243"/>
    </row>
    <row r="7" ht="14.25" customHeight="1">
      <c r="B7" s="241" t="s">
        <v>313</v>
      </c>
      <c r="C7" s="214">
        <f>'MK Assumptions'!H3</f>
        <v>0.8571428571</v>
      </c>
      <c r="D7" s="214">
        <f>'MK Assumptions'!H4</f>
        <v>0.1428571429</v>
      </c>
      <c r="E7" s="242"/>
      <c r="F7" s="243"/>
      <c r="H7" s="237" t="s">
        <v>314</v>
      </c>
      <c r="J7" s="237" t="s">
        <v>315</v>
      </c>
    </row>
    <row r="8" ht="14.25" customHeight="1">
      <c r="B8" s="244" t="s">
        <v>316</v>
      </c>
      <c r="C8" s="245">
        <f>'MK Sales Projections'!C14*'MK ACV Distribution'!C7</f>
        <v>40473.71764</v>
      </c>
      <c r="D8" s="245">
        <f>D7*'MK Sales Projections'!C14</f>
        <v>6745.619607</v>
      </c>
      <c r="E8" s="246"/>
      <c r="F8" s="247"/>
      <c r="H8" s="248">
        <f>SUM(C8:F8)</f>
        <v>47219.33725</v>
      </c>
      <c r="J8" s="248">
        <f>'MK Sales Projections'!C14</f>
        <v>47219.33725</v>
      </c>
    </row>
    <row r="9" ht="14.25" customHeight="1">
      <c r="B9" s="249"/>
      <c r="C9" s="250"/>
      <c r="D9" s="250"/>
      <c r="E9" s="250"/>
      <c r="F9" s="250"/>
    </row>
    <row r="10" ht="14.25" customHeight="1">
      <c r="B10" s="239"/>
      <c r="C10" s="239"/>
      <c r="D10" s="239"/>
      <c r="E10" s="239"/>
      <c r="F10" s="239"/>
    </row>
    <row r="11" ht="14.25" customHeight="1">
      <c r="B11" s="53" t="s">
        <v>317</v>
      </c>
      <c r="C11" s="251">
        <f>'MK Assumptions'!C10*J4</f>
        <v>0.17</v>
      </c>
      <c r="D11" s="239"/>
      <c r="E11" s="239"/>
      <c r="F11" s="239"/>
    </row>
    <row r="12" ht="14.25" customHeight="1">
      <c r="B12" s="179"/>
      <c r="C12" s="57" t="s">
        <v>308</v>
      </c>
      <c r="D12" s="57" t="s">
        <v>309</v>
      </c>
      <c r="E12" s="57" t="s">
        <v>310</v>
      </c>
      <c r="F12" s="58" t="s">
        <v>311</v>
      </c>
    </row>
    <row r="13" ht="14.25" customHeight="1">
      <c r="B13" s="241" t="s">
        <v>312</v>
      </c>
      <c r="C13" s="214">
        <f>'MK Assumptions'!G8</f>
        <v>0.12</v>
      </c>
      <c r="D13" s="214">
        <f>'MK Assumptions'!G9</f>
        <v>0.05</v>
      </c>
      <c r="E13" s="242"/>
      <c r="F13" s="243"/>
    </row>
    <row r="14" ht="14.25" customHeight="1">
      <c r="B14" s="241" t="s">
        <v>313</v>
      </c>
      <c r="C14" s="214">
        <f>'MK Assumptions'!H8</f>
        <v>0.7058823529</v>
      </c>
      <c r="D14" s="214">
        <f>'MK Assumptions'!H9</f>
        <v>0.2941176471</v>
      </c>
      <c r="E14" s="242"/>
      <c r="F14" s="243"/>
      <c r="H14" s="237" t="s">
        <v>314</v>
      </c>
      <c r="J14" s="237" t="s">
        <v>315</v>
      </c>
    </row>
    <row r="15" ht="14.25" customHeight="1">
      <c r="B15" s="244" t="s">
        <v>316</v>
      </c>
      <c r="C15" s="245">
        <f>C14*'MK Sales Projections'!$D$14</f>
        <v>57320.77394</v>
      </c>
      <c r="D15" s="245">
        <f>D14*'MK Sales Projections'!$D$14</f>
        <v>23883.65581</v>
      </c>
      <c r="E15" s="246"/>
      <c r="F15" s="247"/>
      <c r="H15" s="248">
        <f>SUM(C15:F15)</f>
        <v>81204.42975</v>
      </c>
      <c r="J15" s="248">
        <f>'MK Sales Projections'!D14</f>
        <v>81204.42975</v>
      </c>
    </row>
    <row r="16" ht="14.25" customHeight="1">
      <c r="B16" s="249"/>
      <c r="C16" s="250"/>
      <c r="D16" s="250"/>
      <c r="E16" s="250"/>
      <c r="F16" s="250"/>
    </row>
    <row r="17" ht="14.25" customHeight="1">
      <c r="B17" s="239"/>
      <c r="C17" s="239"/>
      <c r="D17" s="239"/>
      <c r="E17" s="239"/>
      <c r="F17" s="239"/>
    </row>
    <row r="18" ht="14.25" customHeight="1">
      <c r="B18" s="53" t="s">
        <v>318</v>
      </c>
      <c r="C18" s="251">
        <f>'MK Assumptions'!C11*J4</f>
        <v>0.22</v>
      </c>
      <c r="D18" s="239"/>
      <c r="E18" s="239"/>
      <c r="F18" s="239"/>
    </row>
    <row r="19" ht="14.25" customHeight="1">
      <c r="B19" s="179"/>
      <c r="C19" s="57" t="s">
        <v>308</v>
      </c>
      <c r="D19" s="57" t="s">
        <v>309</v>
      </c>
      <c r="E19" s="57" t="s">
        <v>310</v>
      </c>
      <c r="F19" s="58" t="s">
        <v>311</v>
      </c>
    </row>
    <row r="20" ht="14.25" customHeight="1">
      <c r="B20" s="241" t="s">
        <v>312</v>
      </c>
      <c r="C20" s="214">
        <f>'MK Assumptions'!G13</f>
        <v>0.12</v>
      </c>
      <c r="D20" s="214">
        <f>'MK Assumptions'!G14</f>
        <v>0.08</v>
      </c>
      <c r="E20" s="214">
        <f>'MK Assumptions'!G15</f>
        <v>0.02</v>
      </c>
      <c r="F20" s="243"/>
    </row>
    <row r="21" ht="14.25" customHeight="1">
      <c r="B21" s="241" t="s">
        <v>313</v>
      </c>
      <c r="C21" s="214">
        <f>'MK Assumptions'!H13</f>
        <v>0.5454545455</v>
      </c>
      <c r="D21" s="214">
        <f>'MK Assumptions'!H14</f>
        <v>0.3636363636</v>
      </c>
      <c r="E21" s="214">
        <f>'MK Assumptions'!H15</f>
        <v>0.09090909091</v>
      </c>
      <c r="F21" s="252"/>
      <c r="H21" s="237" t="s">
        <v>314</v>
      </c>
      <c r="J21" s="237" t="s">
        <v>315</v>
      </c>
    </row>
    <row r="22" ht="14.25" customHeight="1">
      <c r="B22" s="244" t="s">
        <v>316</v>
      </c>
      <c r="C22" s="245">
        <f>C21*'MK Sales Projections'!$E$14</f>
        <v>57689.20013</v>
      </c>
      <c r="D22" s="245">
        <f>D21*'MK Sales Projections'!$E$14</f>
        <v>38459.46675</v>
      </c>
      <c r="E22" s="245">
        <f>E21*'MK Sales Projections'!$E$14</f>
        <v>9614.866688</v>
      </c>
      <c r="F22" s="247"/>
      <c r="H22" s="248">
        <f>SUM(C22:F22)</f>
        <v>105763.5336</v>
      </c>
      <c r="J22" s="248">
        <f>'MK Sales Projections'!E14</f>
        <v>105763.5336</v>
      </c>
    </row>
    <row r="23" ht="14.25" customHeight="1">
      <c r="B23" s="249"/>
      <c r="C23" s="250"/>
      <c r="D23" s="250"/>
      <c r="E23" s="250"/>
      <c r="F23" s="250"/>
    </row>
    <row r="24" ht="14.25" customHeight="1">
      <c r="B24" s="239"/>
      <c r="C24" s="239"/>
      <c r="D24" s="239"/>
      <c r="E24" s="239"/>
      <c r="F24" s="239"/>
    </row>
    <row r="25" ht="14.25" customHeight="1">
      <c r="B25" s="53" t="s">
        <v>319</v>
      </c>
      <c r="C25" s="251">
        <f>'MK Assumptions'!C12*J4</f>
        <v>0.27</v>
      </c>
      <c r="D25" s="239"/>
      <c r="E25" s="239"/>
      <c r="F25" s="239"/>
    </row>
    <row r="26" ht="14.25" customHeight="1">
      <c r="B26" s="179"/>
      <c r="C26" s="57" t="s">
        <v>308</v>
      </c>
      <c r="D26" s="57" t="s">
        <v>309</v>
      </c>
      <c r="E26" s="57" t="s">
        <v>310</v>
      </c>
      <c r="F26" s="58" t="s">
        <v>311</v>
      </c>
    </row>
    <row r="27" ht="14.25" customHeight="1">
      <c r="B27" s="241" t="s">
        <v>312</v>
      </c>
      <c r="C27" s="214">
        <f>'MK Assumptions'!G19</f>
        <v>0.12</v>
      </c>
      <c r="D27" s="214">
        <f>'MK Assumptions'!G20</f>
        <v>0.08</v>
      </c>
      <c r="E27" s="214">
        <f>'MK Assumptions'!G21</f>
        <v>0.04</v>
      </c>
      <c r="F27" s="253">
        <f>'MK Assumptions'!G22</f>
        <v>0.03</v>
      </c>
    </row>
    <row r="28" ht="14.25" customHeight="1">
      <c r="B28" s="241" t="s">
        <v>313</v>
      </c>
      <c r="C28" s="214">
        <f>'MK Assumptions'!H19</f>
        <v>0.4444444444</v>
      </c>
      <c r="D28" s="214">
        <f>'MK Assumptions'!H20</f>
        <v>0.2962962963</v>
      </c>
      <c r="E28" s="214">
        <f>'MK Assumptions'!H21</f>
        <v>0.1481481481</v>
      </c>
      <c r="F28" s="253">
        <f>'MK Assumptions'!H22</f>
        <v>0.1111111111</v>
      </c>
      <c r="H28" s="237" t="s">
        <v>314</v>
      </c>
      <c r="J28" s="237" t="s">
        <v>315</v>
      </c>
    </row>
    <row r="29" ht="14.25" customHeight="1">
      <c r="B29" s="244" t="s">
        <v>316</v>
      </c>
      <c r="C29" s="245">
        <f>C28*'MK Sales Projections'!$F$14</f>
        <v>70876.63911</v>
      </c>
      <c r="D29" s="245">
        <f>D28*'MK Sales Projections'!$F$14</f>
        <v>47251.09274</v>
      </c>
      <c r="E29" s="245">
        <f>E28*'MK Sales Projections'!$F$14</f>
        <v>23625.54637</v>
      </c>
      <c r="F29" s="254">
        <f>F28*'MK Sales Projections'!$F$14</f>
        <v>17719.15978</v>
      </c>
      <c r="H29" s="248">
        <f>SUM(C29:F29)</f>
        <v>159472.438</v>
      </c>
      <c r="J29" s="248">
        <f>'MK Sales Projections'!F14</f>
        <v>159472.438</v>
      </c>
    </row>
    <row r="30" ht="14.25" customHeight="1">
      <c r="B30" s="249"/>
      <c r="C30" s="250"/>
      <c r="D30" s="250"/>
      <c r="E30" s="250"/>
      <c r="F30" s="250"/>
    </row>
    <row r="31" ht="14.25" customHeight="1">
      <c r="B31" s="255"/>
      <c r="C31" s="255"/>
      <c r="D31" s="239"/>
      <c r="E31" s="239"/>
      <c r="F31" s="239"/>
    </row>
    <row r="32" ht="14.25" customHeight="1">
      <c r="B32" s="53" t="s">
        <v>320</v>
      </c>
      <c r="C32" s="251">
        <f>'MK Assumptions'!C26*J4</f>
        <v>0.35</v>
      </c>
      <c r="D32" s="239"/>
      <c r="E32" s="239"/>
      <c r="F32" s="239"/>
    </row>
    <row r="33" ht="14.25" customHeight="1">
      <c r="B33" s="179"/>
      <c r="C33" s="57" t="s">
        <v>308</v>
      </c>
      <c r="D33" s="57" t="s">
        <v>309</v>
      </c>
      <c r="E33" s="57" t="s">
        <v>310</v>
      </c>
      <c r="F33" s="58" t="s">
        <v>311</v>
      </c>
    </row>
    <row r="34" ht="14.25" customHeight="1">
      <c r="B34" s="241" t="s">
        <v>312</v>
      </c>
      <c r="C34" s="214">
        <f>'MK Assumptions'!G26</f>
        <v>0.12</v>
      </c>
      <c r="D34" s="214">
        <f>'MK Assumptions'!G27</f>
        <v>0.09</v>
      </c>
      <c r="E34" s="214">
        <f>'MK Assumptions'!G28</f>
        <v>0.08</v>
      </c>
      <c r="F34" s="253">
        <f>'MK Assumptions'!G29</f>
        <v>0.04</v>
      </c>
    </row>
    <row r="35" ht="14.25" customHeight="1">
      <c r="B35" s="241" t="s">
        <v>313</v>
      </c>
      <c r="C35" s="214">
        <f>'MK Assumptions'!H26</f>
        <v>0.3636363636</v>
      </c>
      <c r="D35" s="214">
        <f>'MK Assumptions'!H27</f>
        <v>0.2727272727</v>
      </c>
      <c r="E35" s="214">
        <f>'MK Assumptions'!H28</f>
        <v>0.2424242424</v>
      </c>
      <c r="F35" s="253">
        <f>'MK Assumptions'!H29</f>
        <v>0.1212121212</v>
      </c>
      <c r="H35" s="237" t="s">
        <v>314</v>
      </c>
      <c r="J35" s="237" t="s">
        <v>315</v>
      </c>
    </row>
    <row r="36" ht="14.25" customHeight="1">
      <c r="B36" s="244" t="s">
        <v>316</v>
      </c>
      <c r="C36" s="245">
        <f>C35*'MK Sales Projections'!$G$14</f>
        <v>86809.70874</v>
      </c>
      <c r="D36" s="245">
        <f>D35*'MK Sales Projections'!$G$14</f>
        <v>65107.28156</v>
      </c>
      <c r="E36" s="245">
        <f>E35*'MK Sales Projections'!$G$14</f>
        <v>57873.13916</v>
      </c>
      <c r="F36" s="254">
        <f>F35*'MK Sales Projections'!$G$14</f>
        <v>28936.56958</v>
      </c>
      <c r="H36" s="248">
        <f>SUM(C36:F36)</f>
        <v>238726.699</v>
      </c>
      <c r="J36" s="248">
        <f>'MK Sales Projections'!G14</f>
        <v>238726.699</v>
      </c>
    </row>
    <row r="37" ht="14.25" customHeight="1"/>
    <row r="38" ht="14.25" customHeight="1"/>
    <row r="39" ht="14.25" customHeight="1">
      <c r="D39" s="256"/>
      <c r="E39" s="256"/>
      <c r="F39" s="256"/>
      <c r="G39" s="256"/>
    </row>
    <row r="40" ht="14.25" customHeight="1">
      <c r="C40" s="256"/>
    </row>
    <row r="41" ht="14.25" customHeight="1">
      <c r="C41" s="256"/>
    </row>
    <row r="42" ht="14.25" customHeight="1">
      <c r="C42" s="256"/>
    </row>
    <row r="43" ht="14.25" customHeight="1">
      <c r="C43" s="256"/>
    </row>
    <row r="44" ht="14.25" customHeight="1">
      <c r="C44" s="256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2.75"/>
    <col customWidth="1" min="3" max="3" width="27.75"/>
    <col customWidth="1" min="8" max="8" width="21.75"/>
    <col customWidth="1" min="9" max="26" width="8.63"/>
  </cols>
  <sheetData>
    <row r="1" ht="14.25" customHeight="1">
      <c r="A1" s="257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</row>
    <row r="2" ht="14.25" customHeight="1">
      <c r="A2" s="257"/>
      <c r="B2" s="1" t="s">
        <v>321</v>
      </c>
      <c r="C2" s="3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</row>
    <row r="3" ht="14.25" customHeight="1">
      <c r="A3" s="257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</row>
    <row r="4" ht="14.25" customHeight="1">
      <c r="A4" s="257"/>
      <c r="B4" s="258" t="s">
        <v>322</v>
      </c>
      <c r="C4" s="2"/>
      <c r="D4" s="2"/>
      <c r="E4" s="2"/>
      <c r="F4" s="2"/>
      <c r="G4" s="2"/>
      <c r="H4" s="3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</row>
    <row r="5" ht="14.25" customHeight="1">
      <c r="A5" s="257"/>
      <c r="B5" s="259" t="s">
        <v>321</v>
      </c>
      <c r="C5" s="260">
        <v>55.0</v>
      </c>
      <c r="D5" s="260">
        <v>60.0</v>
      </c>
      <c r="E5" s="260">
        <v>70.0</v>
      </c>
      <c r="F5" s="260">
        <v>80.0</v>
      </c>
      <c r="G5" s="260">
        <v>85.0</v>
      </c>
      <c r="H5" s="261" t="s">
        <v>323</v>
      </c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</row>
    <row r="6" ht="14.25" customHeight="1">
      <c r="A6" s="257"/>
      <c r="B6" s="262" t="s">
        <v>324</v>
      </c>
      <c r="C6" s="263">
        <v>10.0</v>
      </c>
      <c r="D6" s="263">
        <v>9.0</v>
      </c>
      <c r="E6" s="263">
        <v>6.0</v>
      </c>
      <c r="F6" s="263">
        <v>9.0</v>
      </c>
      <c r="G6" s="263">
        <v>9.0</v>
      </c>
      <c r="H6" s="264">
        <v>43.0</v>
      </c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</row>
    <row r="7" ht="14.25" customHeight="1">
      <c r="A7" s="257"/>
      <c r="B7" s="265" t="s">
        <v>325</v>
      </c>
      <c r="C7" s="266">
        <v>7.0</v>
      </c>
      <c r="D7" s="266">
        <v>8.0</v>
      </c>
      <c r="E7" s="266">
        <v>6.0</v>
      </c>
      <c r="F7" s="266">
        <v>9.0</v>
      </c>
      <c r="G7" s="266">
        <v>5.0</v>
      </c>
      <c r="H7" s="267">
        <v>35.0</v>
      </c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</row>
    <row r="8" ht="14.25" customHeight="1">
      <c r="A8" s="257"/>
      <c r="B8" s="265" t="s">
        <v>326</v>
      </c>
      <c r="C8" s="266">
        <v>3.0</v>
      </c>
      <c r="D8" s="266">
        <v>6.0</v>
      </c>
      <c r="E8" s="266">
        <v>6.0</v>
      </c>
      <c r="F8" s="266">
        <v>3.0</v>
      </c>
      <c r="G8" s="266">
        <v>4.0</v>
      </c>
      <c r="H8" s="267">
        <v>22.0</v>
      </c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</row>
    <row r="9" ht="14.25" customHeight="1">
      <c r="A9" s="257"/>
      <c r="B9" s="265" t="s">
        <v>327</v>
      </c>
      <c r="C9" s="266">
        <v>1.0</v>
      </c>
      <c r="D9" s="266">
        <v>1.0</v>
      </c>
      <c r="E9" s="266">
        <v>3.0</v>
      </c>
      <c r="F9" s="266">
        <v>2.0</v>
      </c>
      <c r="G9" s="266">
        <v>5.0</v>
      </c>
      <c r="H9" s="267">
        <v>12.0</v>
      </c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</row>
    <row r="10" ht="14.25" customHeight="1">
      <c r="A10" s="257"/>
      <c r="B10" s="268" t="s">
        <v>328</v>
      </c>
      <c r="C10" s="269">
        <v>1.0</v>
      </c>
      <c r="D10" s="269">
        <v>1.0</v>
      </c>
      <c r="E10" s="269">
        <v>3.0</v>
      </c>
      <c r="F10" s="269">
        <v>1.0</v>
      </c>
      <c r="G10" s="269">
        <v>1.0</v>
      </c>
      <c r="H10" s="270">
        <v>7.0</v>
      </c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</row>
    <row r="11" ht="14.25" customHeight="1">
      <c r="A11" s="257"/>
      <c r="B11" s="271" t="s">
        <v>323</v>
      </c>
      <c r="C11" s="272">
        <v>22.0</v>
      </c>
      <c r="D11" s="272">
        <v>25.0</v>
      </c>
      <c r="E11" s="272">
        <v>24.0</v>
      </c>
      <c r="F11" s="272">
        <v>24.0</v>
      </c>
      <c r="G11" s="272">
        <v>24.0</v>
      </c>
      <c r="H11" s="273">
        <v>119.0</v>
      </c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</row>
    <row r="12" ht="14.25" customHeight="1">
      <c r="A12" s="257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</row>
    <row r="13" ht="14.25" customHeight="1">
      <c r="A13" s="257"/>
      <c r="B13" s="274" t="s">
        <v>329</v>
      </c>
      <c r="C13" s="275"/>
      <c r="D13" s="275"/>
      <c r="E13" s="275"/>
      <c r="F13" s="275"/>
      <c r="G13" s="276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</row>
    <row r="14" ht="14.25" customHeight="1">
      <c r="A14" s="257"/>
      <c r="B14" s="259" t="s">
        <v>321</v>
      </c>
      <c r="C14" s="260">
        <v>55.0</v>
      </c>
      <c r="D14" s="260">
        <v>60.0</v>
      </c>
      <c r="E14" s="260">
        <v>70.0</v>
      </c>
      <c r="F14" s="260">
        <v>80.0</v>
      </c>
      <c r="G14" s="260">
        <v>85.0</v>
      </c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</row>
    <row r="15" ht="14.25" customHeight="1">
      <c r="A15" s="257"/>
      <c r="B15" s="262" t="s">
        <v>330</v>
      </c>
      <c r="C15" s="277">
        <v>35.0</v>
      </c>
      <c r="D15" s="263">
        <v>28.0</v>
      </c>
      <c r="E15" s="263">
        <v>20.0</v>
      </c>
      <c r="F15" s="263">
        <v>14.0</v>
      </c>
      <c r="G15" s="264">
        <v>5.0</v>
      </c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</row>
    <row r="16" ht="14.25" customHeight="1">
      <c r="A16" s="257"/>
      <c r="B16" s="265" t="s">
        <v>331</v>
      </c>
      <c r="C16" s="278">
        <f t="shared" ref="C16:G16" si="1">C15*0.3</f>
        <v>10.5</v>
      </c>
      <c r="D16" s="266">
        <f t="shared" si="1"/>
        <v>8.4</v>
      </c>
      <c r="E16" s="266">
        <f t="shared" si="1"/>
        <v>6</v>
      </c>
      <c r="F16" s="266">
        <f t="shared" si="1"/>
        <v>4.2</v>
      </c>
      <c r="G16" s="267">
        <f t="shared" si="1"/>
        <v>1.5</v>
      </c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</row>
    <row r="17" ht="14.25" customHeight="1">
      <c r="A17" s="257"/>
      <c r="B17" s="265" t="s">
        <v>332</v>
      </c>
      <c r="C17" s="278">
        <v>43.0</v>
      </c>
      <c r="D17" s="266">
        <v>33.0</v>
      </c>
      <c r="E17" s="266">
        <v>24.0</v>
      </c>
      <c r="F17" s="266">
        <v>18.0</v>
      </c>
      <c r="G17" s="267">
        <v>9.0</v>
      </c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</row>
    <row r="18" ht="14.25" customHeight="1">
      <c r="A18" s="257"/>
      <c r="B18" s="265" t="s">
        <v>333</v>
      </c>
      <c r="C18" s="278">
        <f t="shared" ref="C18:G18" si="2">C17*0.8</f>
        <v>34.4</v>
      </c>
      <c r="D18" s="266">
        <f t="shared" si="2"/>
        <v>26.4</v>
      </c>
      <c r="E18" s="266">
        <f t="shared" si="2"/>
        <v>19.2</v>
      </c>
      <c r="F18" s="266">
        <f t="shared" si="2"/>
        <v>14.4</v>
      </c>
      <c r="G18" s="267">
        <f t="shared" si="2"/>
        <v>7.2</v>
      </c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</row>
    <row r="19" ht="14.25" customHeight="1">
      <c r="A19" s="257"/>
      <c r="B19" s="265" t="s">
        <v>334</v>
      </c>
      <c r="C19" s="278">
        <v>44.9</v>
      </c>
      <c r="D19" s="266">
        <v>34.8</v>
      </c>
      <c r="E19" s="266">
        <v>25.2</v>
      </c>
      <c r="F19" s="266">
        <v>18.6</v>
      </c>
      <c r="G19" s="267">
        <v>8.7</v>
      </c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</row>
    <row r="20" ht="14.25" customHeight="1">
      <c r="A20" s="257"/>
      <c r="B20" s="268" t="s">
        <v>335</v>
      </c>
      <c r="C20" s="279">
        <v>119.0</v>
      </c>
      <c r="D20" s="269">
        <v>119.0</v>
      </c>
      <c r="E20" s="269">
        <v>119.0</v>
      </c>
      <c r="F20" s="269">
        <v>119.0</v>
      </c>
      <c r="G20" s="270">
        <v>119.0</v>
      </c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</row>
    <row r="21" ht="14.25" customHeight="1">
      <c r="A21" s="257"/>
      <c r="B21" s="280" t="s">
        <v>336</v>
      </c>
      <c r="C21" s="281">
        <f t="shared" ref="C21:G21" si="3">C19/C20</f>
        <v>0.3773109244</v>
      </c>
      <c r="D21" s="281">
        <f t="shared" si="3"/>
        <v>0.2924369748</v>
      </c>
      <c r="E21" s="281">
        <f t="shared" si="3"/>
        <v>0.2117647059</v>
      </c>
      <c r="F21" s="281">
        <f t="shared" si="3"/>
        <v>0.156302521</v>
      </c>
      <c r="G21" s="282">
        <f t="shared" si="3"/>
        <v>0.0731092437</v>
      </c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</row>
    <row r="22" ht="14.25" customHeight="1">
      <c r="A22" s="257"/>
      <c r="B22" s="257"/>
      <c r="C22" s="257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</row>
    <row r="23" ht="14.25" customHeight="1">
      <c r="A23" s="257"/>
      <c r="B23" s="283" t="s">
        <v>337</v>
      </c>
      <c r="C23" s="284" t="s">
        <v>329</v>
      </c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</row>
    <row r="24" ht="14.25" customHeight="1">
      <c r="A24" s="257"/>
      <c r="B24" s="285">
        <v>55.0</v>
      </c>
      <c r="C24" s="286">
        <f>C21</f>
        <v>0.3773109244</v>
      </c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</row>
    <row r="25" ht="14.25" customHeight="1">
      <c r="A25" s="257"/>
      <c r="B25" s="287">
        <v>60.0</v>
      </c>
      <c r="C25" s="288">
        <f>D21</f>
        <v>0.2924369748</v>
      </c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</row>
    <row r="26" ht="14.25" customHeight="1">
      <c r="A26" s="257"/>
      <c r="B26" s="287">
        <v>70.0</v>
      </c>
      <c r="C26" s="288">
        <f>E21</f>
        <v>0.2117647059</v>
      </c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</row>
    <row r="27" ht="14.25" customHeight="1">
      <c r="A27" s="257"/>
      <c r="B27" s="287">
        <v>80.0</v>
      </c>
      <c r="C27" s="288">
        <f>F21</f>
        <v>0.156302521</v>
      </c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</row>
    <row r="28" ht="14.25" customHeight="1">
      <c r="A28" s="257"/>
      <c r="B28" s="289">
        <v>85.0</v>
      </c>
      <c r="C28" s="290">
        <f>G21</f>
        <v>0.0731092437</v>
      </c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</row>
    <row r="29" ht="14.25" customHeight="1">
      <c r="A29" s="257"/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</row>
    <row r="30" ht="14.25" customHeight="1">
      <c r="A30" s="257"/>
      <c r="B30" s="53" t="s">
        <v>338</v>
      </c>
      <c r="C30" s="53" t="s">
        <v>339</v>
      </c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</row>
    <row r="31" ht="14.25" customHeight="1">
      <c r="A31" s="257"/>
      <c r="B31" s="291">
        <v>-0.009114415</v>
      </c>
      <c r="C31" s="291">
        <v>0.860193924</v>
      </c>
      <c r="D31" s="257"/>
      <c r="E31" s="257"/>
      <c r="F31" s="257"/>
      <c r="G31" s="257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</row>
    <row r="32" ht="14.25" customHeight="1">
      <c r="A32" s="257"/>
      <c r="B32" s="257"/>
      <c r="C32" s="257"/>
      <c r="D32" s="257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</row>
    <row r="33" ht="14.25" customHeight="1">
      <c r="A33" s="257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</row>
    <row r="34" ht="14.25" customHeight="1">
      <c r="A34" s="257"/>
      <c r="B34" s="257"/>
      <c r="C34" s="257"/>
      <c r="D34" s="257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</row>
    <row r="35" ht="14.25" customHeight="1">
      <c r="A35" s="257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</row>
    <row r="36" ht="14.25" customHeight="1">
      <c r="A36" s="257"/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</row>
    <row r="37" ht="14.25" customHeight="1">
      <c r="A37" s="257"/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</row>
    <row r="38" ht="14.25" customHeight="1">
      <c r="A38" s="257"/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</row>
    <row r="39" ht="14.25" customHeight="1">
      <c r="A39" s="257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</row>
    <row r="40" ht="14.25" customHeight="1">
      <c r="A40" s="257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</row>
    <row r="41" ht="14.25" customHeight="1">
      <c r="A41" s="257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</row>
    <row r="42" ht="14.25" customHeight="1">
      <c r="A42" s="257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</row>
    <row r="43" ht="14.25" customHeight="1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</row>
    <row r="44" ht="14.25" customHeight="1">
      <c r="A44" s="257"/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</row>
    <row r="45" ht="14.25" customHeight="1">
      <c r="A45" s="257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</row>
    <row r="46" ht="14.25" customHeight="1">
      <c r="A46" s="257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</row>
    <row r="47" ht="14.25" customHeight="1">
      <c r="A47" s="257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</row>
    <row r="48" ht="14.25" customHeight="1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</row>
    <row r="49" ht="14.25" customHeight="1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</row>
    <row r="50" ht="14.25" customHeight="1">
      <c r="A50" s="257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</row>
    <row r="51" ht="14.25" customHeight="1">
      <c r="A51" s="257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</row>
    <row r="52" ht="14.25" customHeight="1">
      <c r="A52" s="257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</row>
    <row r="53" ht="14.25" customHeight="1">
      <c r="A53" s="257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</row>
    <row r="54" ht="14.25" customHeight="1">
      <c r="A54" s="257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</row>
    <row r="55" ht="14.25" customHeight="1">
      <c r="A55" s="257"/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</row>
    <row r="56" ht="14.25" customHeight="1">
      <c r="A56" s="257"/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</row>
    <row r="57" ht="14.25" customHeight="1">
      <c r="A57" s="257"/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</row>
    <row r="58" ht="14.25" customHeight="1">
      <c r="A58" s="257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</row>
    <row r="59" ht="14.25" customHeight="1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</row>
    <row r="60" ht="14.25" customHeight="1">
      <c r="A60" s="257"/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</row>
    <row r="61" ht="14.25" customHeight="1">
      <c r="A61" s="257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</row>
    <row r="62" ht="14.25" customHeight="1">
      <c r="A62" s="257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</row>
    <row r="63" ht="14.25" customHeight="1">
      <c r="A63" s="257"/>
      <c r="B63" s="25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</row>
    <row r="64" ht="14.25" customHeight="1">
      <c r="A64" s="257"/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</row>
    <row r="65" ht="14.25" customHeight="1">
      <c r="A65" s="257"/>
      <c r="B65" s="25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</row>
    <row r="66" ht="14.25" customHeight="1">
      <c r="A66" s="257"/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</row>
    <row r="67" ht="14.25" customHeight="1">
      <c r="A67" s="257"/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</row>
    <row r="68" ht="14.25" customHeight="1">
      <c r="A68" s="257"/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</row>
    <row r="69" ht="14.25" customHeight="1">
      <c r="A69" s="257"/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</row>
    <row r="70" ht="14.25" customHeight="1">
      <c r="A70" s="257"/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</row>
    <row r="71" ht="14.25" customHeight="1">
      <c r="A71" s="257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</row>
    <row r="72" ht="14.25" customHeight="1">
      <c r="A72" s="257"/>
      <c r="B72" s="257"/>
      <c r="C72" s="257"/>
      <c r="D72" s="257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</row>
    <row r="73" ht="14.25" customHeight="1">
      <c r="A73" s="257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</row>
    <row r="74" ht="14.25" customHeight="1">
      <c r="A74" s="257"/>
      <c r="B74" s="257"/>
      <c r="C74" s="257"/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</row>
    <row r="75" ht="14.25" customHeight="1">
      <c r="A75" s="257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</row>
    <row r="76" ht="14.25" customHeight="1">
      <c r="A76" s="257"/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</row>
    <row r="77" ht="14.25" customHeight="1">
      <c r="A77" s="257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</row>
    <row r="78" ht="14.25" customHeight="1">
      <c r="A78" s="257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</row>
    <row r="79" ht="14.25" customHeight="1">
      <c r="A79" s="257"/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</row>
    <row r="80" ht="14.25" customHeight="1">
      <c r="A80" s="257"/>
      <c r="B80" s="257"/>
      <c r="C80" s="257"/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</row>
    <row r="81" ht="14.25" customHeight="1">
      <c r="A81" s="257"/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</row>
    <row r="82" ht="14.25" customHeight="1">
      <c r="A82" s="257"/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</row>
    <row r="83" ht="14.25" customHeight="1">
      <c r="A83" s="257"/>
      <c r="B83" s="257"/>
      <c r="C83" s="257"/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</row>
    <row r="84" ht="14.25" customHeight="1">
      <c r="A84" s="257"/>
      <c r="B84" s="257"/>
      <c r="C84" s="257"/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</row>
    <row r="85" ht="14.25" customHeight="1">
      <c r="A85" s="257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</row>
    <row r="86" ht="14.25" customHeight="1">
      <c r="A86" s="257"/>
      <c r="B86" s="257"/>
      <c r="C86" s="257"/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</row>
    <row r="87" ht="14.25" customHeight="1">
      <c r="A87" s="257"/>
      <c r="B87" s="257"/>
      <c r="C87" s="257"/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</row>
    <row r="88" ht="14.25" customHeight="1">
      <c r="A88" s="257"/>
      <c r="B88" s="257"/>
      <c r="C88" s="257"/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</row>
    <row r="89" ht="14.25" customHeight="1">
      <c r="A89" s="257"/>
      <c r="B89" s="257"/>
      <c r="C89" s="257"/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</row>
    <row r="90" ht="14.25" customHeight="1">
      <c r="A90" s="257"/>
      <c r="B90" s="257"/>
      <c r="C90" s="257"/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</row>
    <row r="91" ht="14.25" customHeight="1">
      <c r="A91" s="257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ht="14.25" customHeight="1">
      <c r="A92" s="257"/>
      <c r="B92" s="257"/>
      <c r="C92" s="257"/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</row>
    <row r="93" ht="14.25" customHeight="1">
      <c r="A93" s="257"/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</row>
    <row r="94" ht="14.25" customHeight="1">
      <c r="A94" s="257"/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</row>
    <row r="95" ht="14.25" customHeight="1">
      <c r="A95" s="257"/>
      <c r="B95" s="257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</row>
    <row r="96" ht="14.25" customHeight="1">
      <c r="A96" s="257"/>
      <c r="B96" s="257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</row>
    <row r="97" ht="14.25" customHeight="1">
      <c r="A97" s="257"/>
      <c r="B97" s="257"/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</row>
    <row r="98" ht="14.25" customHeight="1">
      <c r="A98" s="257"/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</row>
    <row r="99" ht="14.25" customHeight="1">
      <c r="A99" s="257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</row>
    <row r="100" ht="14.25" customHeight="1">
      <c r="A100" s="257"/>
      <c r="B100" s="257"/>
      <c r="C100" s="257"/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</row>
    <row r="101" ht="14.25" customHeight="1">
      <c r="A101" s="257"/>
      <c r="B101" s="257"/>
      <c r="C101" s="257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</row>
    <row r="102" ht="14.25" customHeight="1">
      <c r="A102" s="257"/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</row>
    <row r="103" ht="14.25" customHeight="1">
      <c r="A103" s="257"/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</row>
    <row r="104" ht="14.25" customHeight="1">
      <c r="A104" s="257"/>
      <c r="B104" s="257"/>
      <c r="C104" s="257"/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</row>
    <row r="105" ht="14.25" customHeight="1">
      <c r="A105" s="257"/>
      <c r="B105" s="257"/>
      <c r="C105" s="257"/>
      <c r="D105" s="257"/>
      <c r="E105" s="257"/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</row>
    <row r="106" ht="14.25" customHeight="1">
      <c r="A106" s="257"/>
      <c r="B106" s="257"/>
      <c r="C106" s="257"/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</row>
    <row r="107" ht="14.25" customHeight="1">
      <c r="A107" s="257"/>
      <c r="B107" s="257"/>
      <c r="C107" s="257"/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</row>
    <row r="108" ht="14.25" customHeight="1">
      <c r="A108" s="257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</row>
    <row r="109" ht="14.25" customHeight="1">
      <c r="A109" s="257"/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</row>
    <row r="110" ht="14.25" customHeight="1">
      <c r="A110" s="257"/>
      <c r="B110" s="257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</row>
    <row r="111" ht="14.25" customHeight="1">
      <c r="A111" s="257"/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</row>
    <row r="112" ht="14.25" customHeight="1">
      <c r="A112" s="257"/>
      <c r="B112" s="257"/>
      <c r="C112" s="257"/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</row>
    <row r="113" ht="14.25" customHeight="1">
      <c r="A113" s="257"/>
      <c r="B113" s="257"/>
      <c r="C113" s="257"/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</row>
    <row r="114" ht="14.25" customHeight="1">
      <c r="A114" s="257"/>
      <c r="B114" s="257"/>
      <c r="C114" s="257"/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</row>
    <row r="115" ht="14.25" customHeight="1">
      <c r="A115" s="257"/>
      <c r="B115" s="257"/>
      <c r="C115" s="257"/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</row>
    <row r="116" ht="14.25" customHeight="1">
      <c r="A116" s="257"/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</row>
    <row r="117" ht="14.25" customHeight="1">
      <c r="A117" s="257"/>
      <c r="B117" s="257"/>
      <c r="C117" s="257"/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</row>
    <row r="118" ht="14.25" customHeight="1">
      <c r="A118" s="257"/>
      <c r="B118" s="257"/>
      <c r="C118" s="257"/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</row>
    <row r="119" ht="14.25" customHeight="1">
      <c r="A119" s="257"/>
      <c r="B119" s="257"/>
      <c r="C119" s="257"/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</row>
    <row r="120" ht="14.25" customHeight="1">
      <c r="A120" s="257"/>
      <c r="B120" s="257"/>
      <c r="C120" s="257"/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</row>
    <row r="121" ht="14.25" customHeight="1">
      <c r="A121" s="257"/>
      <c r="B121" s="257"/>
      <c r="C121" s="257"/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</row>
    <row r="122" ht="14.25" customHeight="1">
      <c r="A122" s="257"/>
      <c r="B122" s="257"/>
      <c r="C122" s="257"/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</row>
    <row r="123" ht="14.25" customHeight="1">
      <c r="A123" s="257"/>
      <c r="B123" s="257"/>
      <c r="C123" s="257"/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</row>
    <row r="124" ht="14.25" customHeight="1">
      <c r="A124" s="257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</row>
    <row r="125" ht="14.25" customHeight="1">
      <c r="A125" s="257"/>
      <c r="B125" s="257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</row>
    <row r="126" ht="14.25" customHeight="1">
      <c r="A126" s="257"/>
      <c r="B126" s="257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</row>
    <row r="127" ht="14.25" customHeight="1">
      <c r="A127" s="257"/>
      <c r="B127" s="257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</row>
    <row r="128" ht="14.25" customHeight="1">
      <c r="A128" s="257"/>
      <c r="B128" s="257"/>
      <c r="C128" s="257"/>
      <c r="D128" s="257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</row>
    <row r="129" ht="14.25" customHeight="1">
      <c r="A129" s="257"/>
      <c r="B129" s="257"/>
      <c r="C129" s="257"/>
      <c r="D129" s="257"/>
      <c r="E129" s="257"/>
      <c r="F129" s="257"/>
      <c r="G129" s="257"/>
      <c r="H129" s="257"/>
      <c r="I129" s="257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</row>
    <row r="130" ht="14.25" customHeight="1">
      <c r="A130" s="257"/>
      <c r="B130" s="257"/>
      <c r="C130" s="257"/>
      <c r="D130" s="257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</row>
    <row r="131" ht="14.25" customHeight="1">
      <c r="A131" s="257"/>
      <c r="B131" s="257"/>
      <c r="C131" s="257"/>
      <c r="D131" s="257"/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</row>
    <row r="132" ht="14.25" customHeight="1">
      <c r="A132" s="257"/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</row>
    <row r="133" ht="14.25" customHeight="1">
      <c r="A133" s="257"/>
      <c r="B133" s="257"/>
      <c r="C133" s="257"/>
      <c r="D133" s="257"/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</row>
    <row r="134" ht="14.25" customHeight="1">
      <c r="A134" s="257"/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</row>
    <row r="135" ht="14.25" customHeight="1">
      <c r="A135" s="257"/>
      <c r="B135" s="257"/>
      <c r="C135" s="257"/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57"/>
      <c r="Q135" s="257"/>
      <c r="R135" s="257"/>
      <c r="S135" s="257"/>
      <c r="T135" s="257"/>
      <c r="U135" s="257"/>
      <c r="V135" s="257"/>
      <c r="W135" s="257"/>
      <c r="X135" s="257"/>
      <c r="Y135" s="257"/>
      <c r="Z135" s="257"/>
    </row>
    <row r="136" ht="14.25" customHeight="1">
      <c r="A136" s="257"/>
      <c r="B136" s="257"/>
      <c r="C136" s="257"/>
      <c r="D136" s="257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7"/>
      <c r="V136" s="257"/>
      <c r="W136" s="257"/>
      <c r="X136" s="257"/>
      <c r="Y136" s="257"/>
      <c r="Z136" s="257"/>
    </row>
    <row r="137" ht="14.25" customHeight="1">
      <c r="A137" s="257"/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</row>
    <row r="138" ht="14.25" customHeight="1">
      <c r="A138" s="257"/>
      <c r="B138" s="257"/>
      <c r="C138" s="257"/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</row>
    <row r="139" ht="14.25" customHeight="1">
      <c r="A139" s="257"/>
      <c r="B139" s="257"/>
      <c r="C139" s="257"/>
      <c r="D139" s="257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</row>
    <row r="140" ht="14.25" customHeight="1">
      <c r="A140" s="257"/>
      <c r="B140" s="257"/>
      <c r="C140" s="257"/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</row>
    <row r="141" ht="14.25" customHeight="1">
      <c r="A141" s="257"/>
      <c r="B141" s="257"/>
      <c r="C141" s="257"/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</row>
    <row r="142" ht="14.25" customHeight="1">
      <c r="A142" s="257"/>
      <c r="B142" s="257"/>
      <c r="C142" s="257"/>
      <c r="D142" s="257"/>
      <c r="E142" s="257"/>
      <c r="F142" s="257"/>
      <c r="G142" s="257"/>
      <c r="H142" s="257"/>
      <c r="I142" s="257"/>
      <c r="J142" s="257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</row>
    <row r="143" ht="14.25" customHeight="1">
      <c r="A143" s="257"/>
      <c r="B143" s="257"/>
      <c r="C143" s="257"/>
      <c r="D143" s="257"/>
      <c r="E143" s="257"/>
      <c r="F143" s="257"/>
      <c r="G143" s="257"/>
      <c r="H143" s="257"/>
      <c r="I143" s="257"/>
      <c r="J143" s="257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</row>
    <row r="144" ht="14.25" customHeight="1">
      <c r="A144" s="257"/>
      <c r="B144" s="257"/>
      <c r="C144" s="257"/>
      <c r="D144" s="257"/>
      <c r="E144" s="257"/>
      <c r="F144" s="257"/>
      <c r="G144" s="257"/>
      <c r="H144" s="257"/>
      <c r="I144" s="257"/>
      <c r="J144" s="257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</row>
    <row r="145" ht="14.25" customHeight="1">
      <c r="A145" s="257"/>
      <c r="B145" s="257"/>
      <c r="C145" s="257"/>
      <c r="D145" s="257"/>
      <c r="E145" s="257"/>
      <c r="F145" s="257"/>
      <c r="G145" s="257"/>
      <c r="H145" s="257"/>
      <c r="I145" s="257"/>
      <c r="J145" s="257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7"/>
      <c r="V145" s="257"/>
      <c r="W145" s="257"/>
      <c r="X145" s="257"/>
      <c r="Y145" s="257"/>
      <c r="Z145" s="257"/>
    </row>
    <row r="146" ht="14.25" customHeight="1">
      <c r="A146" s="257"/>
      <c r="B146" s="257"/>
      <c r="C146" s="257"/>
      <c r="D146" s="257"/>
      <c r="E146" s="257"/>
      <c r="F146" s="257"/>
      <c r="G146" s="257"/>
      <c r="H146" s="257"/>
      <c r="I146" s="257"/>
      <c r="J146" s="257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</row>
    <row r="147" ht="14.25" customHeight="1">
      <c r="A147" s="257"/>
      <c r="B147" s="257"/>
      <c r="C147" s="257"/>
      <c r="D147" s="257"/>
      <c r="E147" s="257"/>
      <c r="F147" s="257"/>
      <c r="G147" s="257"/>
      <c r="H147" s="257"/>
      <c r="I147" s="257"/>
      <c r="J147" s="257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57"/>
      <c r="X147" s="257"/>
      <c r="Y147" s="257"/>
      <c r="Z147" s="257"/>
    </row>
    <row r="148" ht="14.25" customHeight="1">
      <c r="A148" s="257"/>
      <c r="B148" s="257"/>
      <c r="C148" s="257"/>
      <c r="D148" s="257"/>
      <c r="E148" s="257"/>
      <c r="F148" s="257"/>
      <c r="G148" s="257"/>
      <c r="H148" s="257"/>
      <c r="I148" s="257"/>
      <c r="J148" s="257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</row>
    <row r="149" ht="14.25" customHeight="1">
      <c r="A149" s="257"/>
      <c r="B149" s="257"/>
      <c r="C149" s="257"/>
      <c r="D149" s="257"/>
      <c r="E149" s="257"/>
      <c r="F149" s="257"/>
      <c r="G149" s="257"/>
      <c r="H149" s="257"/>
      <c r="I149" s="257"/>
      <c r="J149" s="257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</row>
    <row r="150" ht="14.25" customHeight="1">
      <c r="A150" s="257"/>
      <c r="B150" s="257"/>
      <c r="C150" s="257"/>
      <c r="D150" s="257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</row>
    <row r="151" ht="14.25" customHeight="1">
      <c r="A151" s="257"/>
      <c r="B151" s="257"/>
      <c r="C151" s="257"/>
      <c r="D151" s="257"/>
      <c r="E151" s="257"/>
      <c r="F151" s="257"/>
      <c r="G151" s="257"/>
      <c r="H151" s="257"/>
      <c r="I151" s="257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</row>
    <row r="152" ht="14.25" customHeight="1">
      <c r="A152" s="257"/>
      <c r="B152" s="257"/>
      <c r="C152" s="257"/>
      <c r="D152" s="257"/>
      <c r="E152" s="257"/>
      <c r="F152" s="257"/>
      <c r="G152" s="257"/>
      <c r="H152" s="257"/>
      <c r="I152" s="257"/>
      <c r="J152" s="257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</row>
    <row r="153" ht="14.25" customHeight="1">
      <c r="A153" s="257"/>
      <c r="B153" s="257"/>
      <c r="C153" s="257"/>
      <c r="D153" s="257"/>
      <c r="E153" s="257"/>
      <c r="F153" s="257"/>
      <c r="G153" s="257"/>
      <c r="H153" s="257"/>
      <c r="I153" s="257"/>
      <c r="J153" s="257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</row>
    <row r="154" ht="14.25" customHeight="1">
      <c r="A154" s="257"/>
      <c r="B154" s="257"/>
      <c r="C154" s="257"/>
      <c r="D154" s="257"/>
      <c r="E154" s="257"/>
      <c r="F154" s="257"/>
      <c r="G154" s="257"/>
      <c r="H154" s="257"/>
      <c r="I154" s="257"/>
      <c r="J154" s="257"/>
      <c r="K154" s="257"/>
      <c r="L154" s="257"/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</row>
    <row r="155" ht="14.25" customHeight="1">
      <c r="A155" s="257"/>
      <c r="B155" s="257"/>
      <c r="C155" s="257"/>
      <c r="D155" s="257"/>
      <c r="E155" s="257"/>
      <c r="F155" s="257"/>
      <c r="G155" s="257"/>
      <c r="H155" s="257"/>
      <c r="I155" s="257"/>
      <c r="J155" s="257"/>
      <c r="K155" s="257"/>
      <c r="L155" s="257"/>
      <c r="M155" s="257"/>
      <c r="N155" s="257"/>
      <c r="O155" s="257"/>
      <c r="P155" s="257"/>
      <c r="Q155" s="257"/>
      <c r="R155" s="257"/>
      <c r="S155" s="257"/>
      <c r="T155" s="257"/>
      <c r="U155" s="257"/>
      <c r="V155" s="257"/>
      <c r="W155" s="257"/>
      <c r="X155" s="257"/>
      <c r="Y155" s="257"/>
      <c r="Z155" s="257"/>
    </row>
    <row r="156" ht="14.25" customHeight="1">
      <c r="A156" s="257"/>
      <c r="B156" s="257"/>
      <c r="C156" s="257"/>
      <c r="D156" s="257"/>
      <c r="E156" s="257"/>
      <c r="F156" s="257"/>
      <c r="G156" s="257"/>
      <c r="H156" s="257"/>
      <c r="I156" s="257"/>
      <c r="J156" s="257"/>
      <c r="K156" s="257"/>
      <c r="L156" s="257"/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</row>
    <row r="157" ht="14.25" customHeight="1">
      <c r="A157" s="257"/>
      <c r="B157" s="257"/>
      <c r="C157" s="257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</row>
    <row r="158" ht="14.25" customHeight="1">
      <c r="A158" s="257"/>
      <c r="B158" s="257"/>
      <c r="C158" s="257"/>
      <c r="D158" s="257"/>
      <c r="E158" s="257"/>
      <c r="F158" s="257"/>
      <c r="G158" s="257"/>
      <c r="H158" s="257"/>
      <c r="I158" s="257"/>
      <c r="J158" s="257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</row>
    <row r="159" ht="14.25" customHeight="1">
      <c r="A159" s="257"/>
      <c r="B159" s="257"/>
      <c r="C159" s="257"/>
      <c r="D159" s="257"/>
      <c r="E159" s="257"/>
      <c r="F159" s="257"/>
      <c r="G159" s="257"/>
      <c r="H159" s="257"/>
      <c r="I159" s="257"/>
      <c r="J159" s="257"/>
      <c r="K159" s="257"/>
      <c r="L159" s="257"/>
      <c r="M159" s="257"/>
      <c r="N159" s="257"/>
      <c r="O159" s="257"/>
      <c r="P159" s="257"/>
      <c r="Q159" s="257"/>
      <c r="R159" s="257"/>
      <c r="S159" s="257"/>
      <c r="T159" s="257"/>
      <c r="U159" s="257"/>
      <c r="V159" s="257"/>
      <c r="W159" s="257"/>
      <c r="X159" s="257"/>
      <c r="Y159" s="257"/>
      <c r="Z159" s="257"/>
    </row>
    <row r="160" ht="14.25" customHeight="1">
      <c r="A160" s="257"/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</row>
    <row r="161" ht="14.25" customHeight="1">
      <c r="A161" s="257"/>
      <c r="B161" s="257"/>
      <c r="C161" s="257"/>
      <c r="D161" s="257"/>
      <c r="E161" s="257"/>
      <c r="F161" s="257"/>
      <c r="G161" s="257"/>
      <c r="H161" s="257"/>
      <c r="I161" s="257"/>
      <c r="J161" s="257"/>
      <c r="K161" s="257"/>
      <c r="L161" s="257"/>
      <c r="M161" s="257"/>
      <c r="N161" s="257"/>
      <c r="O161" s="257"/>
      <c r="P161" s="257"/>
      <c r="Q161" s="257"/>
      <c r="R161" s="257"/>
      <c r="S161" s="257"/>
      <c r="T161" s="257"/>
      <c r="U161" s="257"/>
      <c r="V161" s="257"/>
      <c r="W161" s="257"/>
      <c r="X161" s="257"/>
      <c r="Y161" s="257"/>
      <c r="Z161" s="257"/>
    </row>
    <row r="162" ht="14.25" customHeight="1">
      <c r="A162" s="257"/>
      <c r="B162" s="257"/>
      <c r="C162" s="257"/>
      <c r="D162" s="257"/>
      <c r="E162" s="257"/>
      <c r="F162" s="257"/>
      <c r="G162" s="257"/>
      <c r="H162" s="257"/>
      <c r="I162" s="257"/>
      <c r="J162" s="257"/>
      <c r="K162" s="257"/>
      <c r="L162" s="257"/>
      <c r="M162" s="257"/>
      <c r="N162" s="257"/>
      <c r="O162" s="257"/>
      <c r="P162" s="257"/>
      <c r="Q162" s="257"/>
      <c r="R162" s="257"/>
      <c r="S162" s="257"/>
      <c r="T162" s="257"/>
      <c r="U162" s="257"/>
      <c r="V162" s="257"/>
      <c r="W162" s="257"/>
      <c r="X162" s="257"/>
      <c r="Y162" s="257"/>
      <c r="Z162" s="257"/>
    </row>
    <row r="163" ht="14.25" customHeight="1">
      <c r="A163" s="257"/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7"/>
      <c r="V163" s="257"/>
      <c r="W163" s="257"/>
      <c r="X163" s="257"/>
      <c r="Y163" s="257"/>
      <c r="Z163" s="257"/>
    </row>
    <row r="164" ht="14.25" customHeight="1">
      <c r="A164" s="257"/>
      <c r="B164" s="257"/>
      <c r="C164" s="257"/>
      <c r="D164" s="257"/>
      <c r="E164" s="257"/>
      <c r="F164" s="257"/>
      <c r="G164" s="257"/>
      <c r="H164" s="257"/>
      <c r="I164" s="257"/>
      <c r="J164" s="257"/>
      <c r="K164" s="257"/>
      <c r="L164" s="257"/>
      <c r="M164" s="257"/>
      <c r="N164" s="257"/>
      <c r="O164" s="257"/>
      <c r="P164" s="257"/>
      <c r="Q164" s="257"/>
      <c r="R164" s="257"/>
      <c r="S164" s="257"/>
      <c r="T164" s="257"/>
      <c r="U164" s="257"/>
      <c r="V164" s="257"/>
      <c r="W164" s="257"/>
      <c r="X164" s="257"/>
      <c r="Y164" s="257"/>
      <c r="Z164" s="257"/>
    </row>
    <row r="165" ht="14.25" customHeight="1">
      <c r="A165" s="257"/>
      <c r="B165" s="257"/>
      <c r="C165" s="257"/>
      <c r="D165" s="257"/>
      <c r="E165" s="257"/>
      <c r="F165" s="257"/>
      <c r="G165" s="257"/>
      <c r="H165" s="257"/>
      <c r="I165" s="257"/>
      <c r="J165" s="257"/>
      <c r="K165" s="257"/>
      <c r="L165" s="257"/>
      <c r="M165" s="257"/>
      <c r="N165" s="257"/>
      <c r="O165" s="257"/>
      <c r="P165" s="257"/>
      <c r="Q165" s="257"/>
      <c r="R165" s="257"/>
      <c r="S165" s="257"/>
      <c r="T165" s="257"/>
      <c r="U165" s="257"/>
      <c r="V165" s="257"/>
      <c r="W165" s="257"/>
      <c r="X165" s="257"/>
      <c r="Y165" s="257"/>
      <c r="Z165" s="257"/>
    </row>
    <row r="166" ht="14.25" customHeight="1">
      <c r="A166" s="257"/>
      <c r="B166" s="257"/>
      <c r="C166" s="257"/>
      <c r="D166" s="257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</row>
    <row r="167" ht="14.25" customHeight="1">
      <c r="A167" s="257"/>
      <c r="B167" s="257"/>
      <c r="C167" s="257"/>
      <c r="D167" s="257"/>
      <c r="E167" s="257"/>
      <c r="F167" s="257"/>
      <c r="G167" s="257"/>
      <c r="H167" s="257"/>
      <c r="I167" s="257"/>
      <c r="J167" s="257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</row>
    <row r="168" ht="14.25" customHeight="1">
      <c r="A168" s="257"/>
      <c r="B168" s="257"/>
      <c r="C168" s="257"/>
      <c r="D168" s="257"/>
      <c r="E168" s="257"/>
      <c r="F168" s="257"/>
      <c r="G168" s="257"/>
      <c r="H168" s="257"/>
      <c r="I168" s="257"/>
      <c r="J168" s="257"/>
      <c r="K168" s="257"/>
      <c r="L168" s="257"/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</row>
    <row r="169" ht="14.25" customHeight="1">
      <c r="A169" s="257"/>
      <c r="B169" s="257"/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57"/>
      <c r="Q169" s="257"/>
      <c r="R169" s="257"/>
      <c r="S169" s="257"/>
      <c r="T169" s="257"/>
      <c r="U169" s="257"/>
      <c r="V169" s="257"/>
      <c r="W169" s="257"/>
      <c r="X169" s="257"/>
      <c r="Y169" s="257"/>
      <c r="Z169" s="257"/>
    </row>
    <row r="170" ht="14.25" customHeight="1">
      <c r="A170" s="257"/>
      <c r="B170" s="257"/>
      <c r="C170" s="257"/>
      <c r="D170" s="257"/>
      <c r="E170" s="257"/>
      <c r="F170" s="257"/>
      <c r="G170" s="257"/>
      <c r="H170" s="257"/>
      <c r="I170" s="257"/>
      <c r="J170" s="257"/>
      <c r="K170" s="257"/>
      <c r="L170" s="257"/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</row>
    <row r="171" ht="14.25" customHeight="1">
      <c r="A171" s="257"/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</row>
    <row r="172" ht="14.25" customHeight="1">
      <c r="A172" s="257"/>
      <c r="B172" s="257"/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</row>
    <row r="173" ht="14.25" customHeight="1">
      <c r="A173" s="257"/>
      <c r="B173" s="257"/>
      <c r="C173" s="257"/>
      <c r="D173" s="257"/>
      <c r="E173" s="257"/>
      <c r="F173" s="257"/>
      <c r="G173" s="257"/>
      <c r="H173" s="257"/>
      <c r="I173" s="257"/>
      <c r="J173" s="257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  <c r="V173" s="257"/>
      <c r="W173" s="257"/>
      <c r="X173" s="257"/>
      <c r="Y173" s="257"/>
      <c r="Z173" s="257"/>
    </row>
    <row r="174" ht="14.25" customHeight="1">
      <c r="A174" s="257"/>
      <c r="B174" s="257"/>
      <c r="C174" s="257"/>
      <c r="D174" s="257"/>
      <c r="E174" s="257"/>
      <c r="F174" s="257"/>
      <c r="G174" s="257"/>
      <c r="H174" s="257"/>
      <c r="I174" s="257"/>
      <c r="J174" s="257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</row>
    <row r="175" ht="14.25" customHeight="1">
      <c r="A175" s="257"/>
      <c r="B175" s="257"/>
      <c r="C175" s="257"/>
      <c r="D175" s="257"/>
      <c r="E175" s="257"/>
      <c r="F175" s="257"/>
      <c r="G175" s="257"/>
      <c r="H175" s="257"/>
      <c r="I175" s="257"/>
      <c r="J175" s="257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7"/>
      <c r="X175" s="257"/>
      <c r="Y175" s="257"/>
      <c r="Z175" s="257"/>
    </row>
    <row r="176" ht="14.25" customHeight="1">
      <c r="A176" s="257"/>
      <c r="B176" s="257"/>
      <c r="C176" s="257"/>
      <c r="D176" s="257"/>
      <c r="E176" s="257"/>
      <c r="F176" s="257"/>
      <c r="G176" s="257"/>
      <c r="H176" s="257"/>
      <c r="I176" s="257"/>
      <c r="J176" s="257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</row>
    <row r="177" ht="14.25" customHeight="1">
      <c r="A177" s="257"/>
      <c r="B177" s="257"/>
      <c r="C177" s="257"/>
      <c r="D177" s="257"/>
      <c r="E177" s="257"/>
      <c r="F177" s="257"/>
      <c r="G177" s="257"/>
      <c r="H177" s="257"/>
      <c r="I177" s="257"/>
      <c r="J177" s="257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</row>
    <row r="178" ht="14.25" customHeight="1">
      <c r="A178" s="257"/>
      <c r="B178" s="257"/>
      <c r="C178" s="257"/>
      <c r="D178" s="257"/>
      <c r="E178" s="257"/>
      <c r="F178" s="257"/>
      <c r="G178" s="257"/>
      <c r="H178" s="257"/>
      <c r="I178" s="257"/>
      <c r="J178" s="257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</row>
    <row r="179" ht="14.25" customHeight="1">
      <c r="A179" s="257"/>
      <c r="B179" s="257"/>
      <c r="C179" s="257"/>
      <c r="D179" s="257"/>
      <c r="E179" s="257"/>
      <c r="F179" s="257"/>
      <c r="G179" s="257"/>
      <c r="H179" s="257"/>
      <c r="I179" s="257"/>
      <c r="J179" s="257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</row>
    <row r="180" ht="14.25" customHeight="1">
      <c r="A180" s="257"/>
      <c r="B180" s="257"/>
      <c r="C180" s="257"/>
      <c r="D180" s="257"/>
      <c r="E180" s="257"/>
      <c r="F180" s="257"/>
      <c r="G180" s="257"/>
      <c r="H180" s="257"/>
      <c r="I180" s="257"/>
      <c r="J180" s="257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57"/>
      <c r="X180" s="257"/>
      <c r="Y180" s="257"/>
      <c r="Z180" s="257"/>
    </row>
    <row r="181" ht="14.25" customHeight="1">
      <c r="A181" s="257"/>
      <c r="B181" s="257"/>
      <c r="C181" s="257"/>
      <c r="D181" s="257"/>
      <c r="E181" s="257"/>
      <c r="F181" s="257"/>
      <c r="G181" s="257"/>
      <c r="H181" s="257"/>
      <c r="I181" s="257"/>
      <c r="J181" s="257"/>
      <c r="K181" s="257"/>
      <c r="L181" s="257"/>
      <c r="M181" s="257"/>
      <c r="N181" s="257"/>
      <c r="O181" s="257"/>
      <c r="P181" s="257"/>
      <c r="Q181" s="257"/>
      <c r="R181" s="257"/>
      <c r="S181" s="257"/>
      <c r="T181" s="257"/>
      <c r="U181" s="257"/>
      <c r="V181" s="257"/>
      <c r="W181" s="257"/>
      <c r="X181" s="257"/>
      <c r="Y181" s="257"/>
      <c r="Z181" s="257"/>
    </row>
    <row r="182" ht="14.25" customHeight="1">
      <c r="A182" s="257"/>
      <c r="B182" s="257"/>
      <c r="C182" s="257"/>
      <c r="D182" s="257"/>
      <c r="E182" s="257"/>
      <c r="F182" s="257"/>
      <c r="G182" s="257"/>
      <c r="H182" s="257"/>
      <c r="I182" s="257"/>
      <c r="J182" s="257"/>
      <c r="K182" s="257"/>
      <c r="L182" s="257"/>
      <c r="M182" s="257"/>
      <c r="N182" s="257"/>
      <c r="O182" s="257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</row>
    <row r="183" ht="14.25" customHeight="1">
      <c r="A183" s="257"/>
      <c r="B183" s="257"/>
      <c r="C183" s="257"/>
      <c r="D183" s="257"/>
      <c r="E183" s="257"/>
      <c r="F183" s="257"/>
      <c r="G183" s="257"/>
      <c r="H183" s="257"/>
      <c r="I183" s="257"/>
      <c r="J183" s="257"/>
      <c r="K183" s="257"/>
      <c r="L183" s="257"/>
      <c r="M183" s="257"/>
      <c r="N183" s="257"/>
      <c r="O183" s="257"/>
      <c r="P183" s="257"/>
      <c r="Q183" s="257"/>
      <c r="R183" s="257"/>
      <c r="S183" s="257"/>
      <c r="T183" s="257"/>
      <c r="U183" s="257"/>
      <c r="V183" s="257"/>
      <c r="W183" s="257"/>
      <c r="X183" s="257"/>
      <c r="Y183" s="257"/>
      <c r="Z183" s="257"/>
    </row>
    <row r="184" ht="14.25" customHeight="1">
      <c r="A184" s="257"/>
      <c r="B184" s="257"/>
      <c r="C184" s="257"/>
      <c r="D184" s="257"/>
      <c r="E184" s="257"/>
      <c r="F184" s="257"/>
      <c r="G184" s="257"/>
      <c r="H184" s="257"/>
      <c r="I184" s="257"/>
      <c r="J184" s="257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/>
      <c r="Z184" s="257"/>
    </row>
    <row r="185" ht="14.25" customHeight="1">
      <c r="A185" s="257"/>
      <c r="B185" s="257"/>
      <c r="C185" s="257"/>
      <c r="D185" s="257"/>
      <c r="E185" s="257"/>
      <c r="F185" s="257"/>
      <c r="G185" s="257"/>
      <c r="H185" s="257"/>
      <c r="I185" s="257"/>
      <c r="J185" s="257"/>
      <c r="K185" s="257"/>
      <c r="L185" s="257"/>
      <c r="M185" s="257"/>
      <c r="N185" s="257"/>
      <c r="O185" s="257"/>
      <c r="P185" s="257"/>
      <c r="Q185" s="257"/>
      <c r="R185" s="257"/>
      <c r="S185" s="257"/>
      <c r="T185" s="257"/>
      <c r="U185" s="257"/>
      <c r="V185" s="257"/>
      <c r="W185" s="257"/>
      <c r="X185" s="257"/>
      <c r="Y185" s="257"/>
      <c r="Z185" s="257"/>
    </row>
    <row r="186" ht="14.25" customHeight="1">
      <c r="A186" s="257"/>
      <c r="B186" s="257"/>
      <c r="C186" s="257"/>
      <c r="D186" s="257"/>
      <c r="E186" s="257"/>
      <c r="F186" s="257"/>
      <c r="G186" s="257"/>
      <c r="H186" s="257"/>
      <c r="I186" s="257"/>
      <c r="J186" s="257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</row>
    <row r="187" ht="14.25" customHeight="1">
      <c r="A187" s="257"/>
      <c r="B187" s="257"/>
      <c r="C187" s="257"/>
      <c r="D187" s="257"/>
      <c r="E187" s="257"/>
      <c r="F187" s="257"/>
      <c r="G187" s="257"/>
      <c r="H187" s="257"/>
      <c r="I187" s="257"/>
      <c r="J187" s="257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7"/>
      <c r="V187" s="257"/>
      <c r="W187" s="257"/>
      <c r="X187" s="257"/>
      <c r="Y187" s="257"/>
      <c r="Z187" s="257"/>
    </row>
    <row r="188" ht="14.25" customHeight="1">
      <c r="A188" s="257"/>
      <c r="B188" s="257"/>
      <c r="C188" s="257"/>
      <c r="D188" s="257"/>
      <c r="E188" s="257"/>
      <c r="F188" s="257"/>
      <c r="G188" s="257"/>
      <c r="H188" s="257"/>
      <c r="I188" s="257"/>
      <c r="J188" s="257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</row>
    <row r="189" ht="14.25" customHeight="1">
      <c r="A189" s="257"/>
      <c r="B189" s="257"/>
      <c r="C189" s="257"/>
      <c r="D189" s="257"/>
      <c r="E189" s="257"/>
      <c r="F189" s="257"/>
      <c r="G189" s="257"/>
      <c r="H189" s="257"/>
      <c r="I189" s="257"/>
      <c r="J189" s="257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</row>
    <row r="190" ht="14.25" customHeight="1">
      <c r="A190" s="257"/>
      <c r="B190" s="257"/>
      <c r="C190" s="257"/>
      <c r="D190" s="257"/>
      <c r="E190" s="257"/>
      <c r="F190" s="257"/>
      <c r="G190" s="257"/>
      <c r="H190" s="257"/>
      <c r="I190" s="257"/>
      <c r="J190" s="257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</row>
    <row r="191" ht="14.25" customHeight="1">
      <c r="A191" s="257"/>
      <c r="B191" s="257"/>
      <c r="C191" s="257"/>
      <c r="D191" s="257"/>
      <c r="E191" s="257"/>
      <c r="F191" s="257"/>
      <c r="G191" s="257"/>
      <c r="H191" s="257"/>
      <c r="I191" s="257"/>
      <c r="J191" s="257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</row>
    <row r="192" ht="14.25" customHeight="1">
      <c r="A192" s="257"/>
      <c r="B192" s="257"/>
      <c r="C192" s="257"/>
      <c r="D192" s="257"/>
      <c r="E192" s="257"/>
      <c r="F192" s="257"/>
      <c r="G192" s="257"/>
      <c r="H192" s="257"/>
      <c r="I192" s="257"/>
      <c r="J192" s="257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</row>
    <row r="193" ht="14.25" customHeight="1">
      <c r="A193" s="257"/>
      <c r="B193" s="257"/>
      <c r="C193" s="257"/>
      <c r="D193" s="257"/>
      <c r="E193" s="257"/>
      <c r="F193" s="257"/>
      <c r="G193" s="257"/>
      <c r="H193" s="257"/>
      <c r="I193" s="257"/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</row>
    <row r="194" ht="14.25" customHeight="1">
      <c r="A194" s="257"/>
      <c r="B194" s="257"/>
      <c r="C194" s="257"/>
      <c r="D194" s="257"/>
      <c r="E194" s="257"/>
      <c r="F194" s="257"/>
      <c r="G194" s="257"/>
      <c r="H194" s="257"/>
      <c r="I194" s="257"/>
      <c r="J194" s="257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</row>
    <row r="195" ht="14.25" customHeight="1">
      <c r="A195" s="257"/>
      <c r="B195" s="257"/>
      <c r="C195" s="257"/>
      <c r="D195" s="257"/>
      <c r="E195" s="257"/>
      <c r="F195" s="257"/>
      <c r="G195" s="257"/>
      <c r="H195" s="257"/>
      <c r="I195" s="257"/>
      <c r="J195" s="257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</row>
    <row r="196" ht="14.25" customHeight="1">
      <c r="A196" s="257"/>
      <c r="B196" s="257"/>
      <c r="C196" s="257"/>
      <c r="D196" s="257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</row>
    <row r="197" ht="14.25" customHeight="1">
      <c r="A197" s="257"/>
      <c r="B197" s="257"/>
      <c r="C197" s="257"/>
      <c r="D197" s="257"/>
      <c r="E197" s="257"/>
      <c r="F197" s="257"/>
      <c r="G197" s="257"/>
      <c r="H197" s="257"/>
      <c r="I197" s="257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</row>
    <row r="198" ht="14.25" customHeight="1">
      <c r="A198" s="257"/>
      <c r="B198" s="257"/>
      <c r="C198" s="257"/>
      <c r="D198" s="257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</row>
    <row r="199" ht="14.25" customHeight="1">
      <c r="A199" s="257"/>
      <c r="B199" s="257"/>
      <c r="C199" s="257"/>
      <c r="D199" s="257"/>
      <c r="E199" s="257"/>
      <c r="F199" s="257"/>
      <c r="G199" s="257"/>
      <c r="H199" s="257"/>
      <c r="I199" s="257"/>
      <c r="J199" s="257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</row>
    <row r="200" ht="14.25" customHeight="1">
      <c r="A200" s="257"/>
      <c r="B200" s="257"/>
      <c r="C200" s="257"/>
      <c r="D200" s="257"/>
      <c r="E200" s="257"/>
      <c r="F200" s="257"/>
      <c r="G200" s="257"/>
      <c r="H200" s="257"/>
      <c r="I200" s="257"/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</row>
    <row r="201" ht="14.25" customHeight="1">
      <c r="A201" s="257"/>
      <c r="B201" s="257"/>
      <c r="C201" s="257"/>
      <c r="D201" s="257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</row>
    <row r="202" ht="14.25" customHeight="1">
      <c r="A202" s="257"/>
      <c r="B202" s="257"/>
      <c r="C202" s="257"/>
      <c r="D202" s="257"/>
      <c r="E202" s="257"/>
      <c r="F202" s="257"/>
      <c r="G202" s="257"/>
      <c r="H202" s="257"/>
      <c r="I202" s="257"/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</row>
    <row r="203" ht="14.25" customHeight="1">
      <c r="A203" s="257"/>
      <c r="B203" s="257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</row>
    <row r="204" ht="14.25" customHeight="1">
      <c r="A204" s="257"/>
      <c r="B204" s="257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</row>
    <row r="205" ht="14.25" customHeight="1">
      <c r="A205" s="257"/>
      <c r="B205" s="257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</row>
    <row r="206" ht="14.25" customHeight="1">
      <c r="A206" s="257"/>
      <c r="B206" s="257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</row>
    <row r="207" ht="14.25" customHeight="1">
      <c r="A207" s="257"/>
      <c r="B207" s="257"/>
      <c r="C207" s="257"/>
      <c r="D207" s="257"/>
      <c r="E207" s="257"/>
      <c r="F207" s="257"/>
      <c r="G207" s="257"/>
      <c r="H207" s="257"/>
      <c r="I207" s="257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</row>
    <row r="208" ht="14.25" customHeight="1">
      <c r="A208" s="257"/>
      <c r="B208" s="257"/>
      <c r="C208" s="257"/>
      <c r="D208" s="257"/>
      <c r="E208" s="257"/>
      <c r="F208" s="257"/>
      <c r="G208" s="257"/>
      <c r="H208" s="257"/>
      <c r="I208" s="257"/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</row>
    <row r="209" ht="14.25" customHeight="1">
      <c r="A209" s="257"/>
      <c r="B209" s="257"/>
      <c r="C209" s="257"/>
      <c r="D209" s="257"/>
      <c r="E209" s="257"/>
      <c r="F209" s="257"/>
      <c r="G209" s="257"/>
      <c r="H209" s="257"/>
      <c r="I209" s="257"/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</row>
    <row r="210" ht="14.25" customHeight="1">
      <c r="A210" s="257"/>
      <c r="B210" s="257"/>
      <c r="C210" s="257"/>
      <c r="D210" s="257"/>
      <c r="E210" s="257"/>
      <c r="F210" s="257"/>
      <c r="G210" s="257"/>
      <c r="H210" s="257"/>
      <c r="I210" s="257"/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</row>
    <row r="211" ht="14.25" customHeight="1">
      <c r="A211" s="257"/>
      <c r="B211" s="257"/>
      <c r="C211" s="257"/>
      <c r="D211" s="257"/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</row>
    <row r="212" ht="14.25" customHeight="1">
      <c r="A212" s="257"/>
      <c r="B212" s="257"/>
      <c r="C212" s="257"/>
      <c r="D212" s="257"/>
      <c r="E212" s="257"/>
      <c r="F212" s="257"/>
      <c r="G212" s="257"/>
      <c r="H212" s="257"/>
      <c r="I212" s="257"/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</row>
    <row r="213" ht="14.25" customHeight="1">
      <c r="A213" s="257"/>
      <c r="B213" s="257"/>
      <c r="C213" s="257"/>
      <c r="D213" s="257"/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</row>
    <row r="214" ht="14.25" customHeight="1">
      <c r="A214" s="257"/>
      <c r="B214" s="257"/>
      <c r="C214" s="257"/>
      <c r="D214" s="257"/>
      <c r="E214" s="257"/>
      <c r="F214" s="257"/>
      <c r="G214" s="257"/>
      <c r="H214" s="257"/>
      <c r="I214" s="257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</row>
    <row r="215" ht="14.25" customHeight="1">
      <c r="A215" s="257"/>
      <c r="B215" s="257"/>
      <c r="C215" s="257"/>
      <c r="D215" s="257"/>
      <c r="E215" s="257"/>
      <c r="F215" s="257"/>
      <c r="G215" s="257"/>
      <c r="H215" s="257"/>
      <c r="I215" s="257"/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</row>
    <row r="216" ht="14.25" customHeight="1">
      <c r="A216" s="257"/>
      <c r="B216" s="257"/>
      <c r="C216" s="257"/>
      <c r="D216" s="257"/>
      <c r="E216" s="257"/>
      <c r="F216" s="257"/>
      <c r="G216" s="257"/>
      <c r="H216" s="257"/>
      <c r="I216" s="257"/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  <c r="V216" s="257"/>
      <c r="W216" s="257"/>
      <c r="X216" s="257"/>
      <c r="Y216" s="257"/>
      <c r="Z216" s="257"/>
    </row>
    <row r="217" ht="14.25" customHeight="1">
      <c r="A217" s="257"/>
      <c r="B217" s="257"/>
      <c r="C217" s="257"/>
      <c r="D217" s="257"/>
      <c r="E217" s="257"/>
      <c r="F217" s="257"/>
      <c r="G217" s="257"/>
      <c r="H217" s="257"/>
      <c r="I217" s="257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</row>
    <row r="218" ht="14.25" customHeight="1">
      <c r="A218" s="257"/>
      <c r="B218" s="257"/>
      <c r="C218" s="257"/>
      <c r="D218" s="257"/>
      <c r="E218" s="257"/>
      <c r="F218" s="257"/>
      <c r="G218" s="257"/>
      <c r="H218" s="257"/>
      <c r="I218" s="257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</row>
    <row r="219" ht="14.25" customHeight="1">
      <c r="A219" s="257"/>
      <c r="B219" s="257"/>
      <c r="C219" s="257"/>
      <c r="D219" s="257"/>
      <c r="E219" s="257"/>
      <c r="F219" s="257"/>
      <c r="G219" s="257"/>
      <c r="H219" s="257"/>
      <c r="I219" s="257"/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  <c r="V219" s="257"/>
      <c r="W219" s="257"/>
      <c r="X219" s="257"/>
      <c r="Y219" s="257"/>
      <c r="Z219" s="257"/>
    </row>
    <row r="220" ht="14.25" customHeight="1">
      <c r="A220" s="257"/>
      <c r="B220" s="257"/>
      <c r="C220" s="257"/>
      <c r="D220" s="257"/>
      <c r="E220" s="257"/>
      <c r="F220" s="257"/>
      <c r="G220" s="257"/>
      <c r="H220" s="257"/>
      <c r="I220" s="257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</row>
    <row r="221" ht="14.25" customHeight="1">
      <c r="A221" s="257"/>
      <c r="B221" s="257"/>
      <c r="C221" s="257"/>
      <c r="D221" s="257"/>
      <c r="E221" s="257"/>
      <c r="F221" s="257"/>
      <c r="G221" s="257"/>
      <c r="H221" s="257"/>
      <c r="I221" s="257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</row>
    <row r="222" ht="14.25" customHeight="1">
      <c r="A222" s="257"/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</row>
    <row r="223" ht="14.25" customHeight="1">
      <c r="A223" s="257"/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</row>
    <row r="224" ht="14.25" customHeight="1">
      <c r="A224" s="257"/>
      <c r="B224" s="257"/>
      <c r="C224" s="257"/>
      <c r="D224" s="257"/>
      <c r="E224" s="257"/>
      <c r="F224" s="257"/>
      <c r="G224" s="257"/>
      <c r="H224" s="257"/>
      <c r="I224" s="257"/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</row>
    <row r="225" ht="14.25" customHeight="1">
      <c r="A225" s="257"/>
      <c r="B225" s="257"/>
      <c r="C225" s="257"/>
      <c r="D225" s="257"/>
      <c r="E225" s="257"/>
      <c r="F225" s="257"/>
      <c r="G225" s="257"/>
      <c r="H225" s="257"/>
      <c r="I225" s="257"/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</row>
    <row r="226" ht="14.25" customHeight="1">
      <c r="A226" s="257"/>
      <c r="B226" s="257"/>
      <c r="C226" s="257"/>
      <c r="D226" s="257"/>
      <c r="E226" s="257"/>
      <c r="F226" s="257"/>
      <c r="G226" s="257"/>
      <c r="H226" s="257"/>
      <c r="I226" s="257"/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</row>
    <row r="227" ht="14.25" customHeight="1">
      <c r="A227" s="257"/>
      <c r="B227" s="257"/>
      <c r="C227" s="257"/>
      <c r="D227" s="257"/>
      <c r="E227" s="257"/>
      <c r="F227" s="257"/>
      <c r="G227" s="257"/>
      <c r="H227" s="257"/>
      <c r="I227" s="257"/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</row>
    <row r="228" ht="14.25" customHeight="1">
      <c r="A228" s="257"/>
      <c r="B228" s="257"/>
      <c r="C228" s="257"/>
      <c r="D228" s="257"/>
      <c r="E228" s="257"/>
      <c r="F228" s="257"/>
      <c r="G228" s="257"/>
      <c r="H228" s="257"/>
      <c r="I228" s="257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</row>
    <row r="229" ht="14.25" customHeight="1">
      <c r="A229" s="257"/>
      <c r="B229" s="257"/>
      <c r="C229" s="257"/>
      <c r="D229" s="257"/>
      <c r="E229" s="257"/>
      <c r="F229" s="257"/>
      <c r="G229" s="257"/>
      <c r="H229" s="257"/>
      <c r="I229" s="257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</row>
    <row r="230" ht="14.25" customHeight="1">
      <c r="A230" s="257"/>
      <c r="B230" s="257"/>
      <c r="C230" s="257"/>
      <c r="D230" s="257"/>
      <c r="E230" s="257"/>
      <c r="F230" s="257"/>
      <c r="G230" s="257"/>
      <c r="H230" s="257"/>
      <c r="I230" s="257"/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</row>
    <row r="231" ht="14.25" customHeight="1">
      <c r="A231" s="257"/>
      <c r="B231" s="257"/>
      <c r="C231" s="257"/>
      <c r="D231" s="257"/>
      <c r="E231" s="257"/>
      <c r="F231" s="257"/>
      <c r="G231" s="257"/>
      <c r="H231" s="257"/>
      <c r="I231" s="257"/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</row>
    <row r="232" ht="14.25" customHeight="1">
      <c r="A232" s="257"/>
      <c r="B232" s="257"/>
      <c r="C232" s="257"/>
      <c r="D232" s="257"/>
      <c r="E232" s="257"/>
      <c r="F232" s="257"/>
      <c r="G232" s="257"/>
      <c r="H232" s="257"/>
      <c r="I232" s="257"/>
      <c r="J232" s="257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</row>
    <row r="233" ht="14.25" customHeight="1">
      <c r="A233" s="257"/>
      <c r="B233" s="257"/>
      <c r="C233" s="257"/>
      <c r="D233" s="257"/>
      <c r="E233" s="257"/>
      <c r="F233" s="257"/>
      <c r="G233" s="257"/>
      <c r="H233" s="257"/>
      <c r="I233" s="257"/>
      <c r="J233" s="257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</row>
    <row r="234" ht="14.25" customHeight="1">
      <c r="A234" s="257"/>
      <c r="B234" s="257"/>
      <c r="C234" s="257"/>
      <c r="D234" s="257"/>
      <c r="E234" s="257"/>
      <c r="F234" s="257"/>
      <c r="G234" s="257"/>
      <c r="H234" s="257"/>
      <c r="I234" s="257"/>
      <c r="J234" s="257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</row>
    <row r="235" ht="14.25" customHeight="1">
      <c r="A235" s="257"/>
      <c r="B235" s="257"/>
      <c r="C235" s="257"/>
      <c r="D235" s="257"/>
      <c r="E235" s="257"/>
      <c r="F235" s="257"/>
      <c r="G235" s="257"/>
      <c r="H235" s="257"/>
      <c r="I235" s="257"/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</row>
    <row r="236" ht="14.25" customHeight="1">
      <c r="A236" s="257"/>
      <c r="B236" s="257"/>
      <c r="C236" s="257"/>
      <c r="D236" s="257"/>
      <c r="E236" s="257"/>
      <c r="F236" s="257"/>
      <c r="G236" s="257"/>
      <c r="H236" s="257"/>
      <c r="I236" s="257"/>
      <c r="J236" s="257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</row>
    <row r="237" ht="14.25" customHeight="1">
      <c r="A237" s="257"/>
      <c r="B237" s="257"/>
      <c r="C237" s="257"/>
      <c r="D237" s="257"/>
      <c r="E237" s="257"/>
      <c r="F237" s="257"/>
      <c r="G237" s="257"/>
      <c r="H237" s="257"/>
      <c r="I237" s="257"/>
      <c r="J237" s="257"/>
      <c r="K237" s="257"/>
      <c r="L237" s="257"/>
      <c r="M237" s="257"/>
      <c r="N237" s="257"/>
      <c r="O237" s="257"/>
      <c r="P237" s="257"/>
      <c r="Q237" s="257"/>
      <c r="R237" s="257"/>
      <c r="S237" s="257"/>
      <c r="T237" s="257"/>
      <c r="U237" s="257"/>
      <c r="V237" s="257"/>
      <c r="W237" s="257"/>
      <c r="X237" s="257"/>
      <c r="Y237" s="257"/>
      <c r="Z237" s="257"/>
    </row>
    <row r="238" ht="14.25" customHeight="1">
      <c r="A238" s="257"/>
      <c r="B238" s="257"/>
      <c r="C238" s="257"/>
      <c r="D238" s="257"/>
      <c r="E238" s="257"/>
      <c r="F238" s="257"/>
      <c r="G238" s="257"/>
      <c r="H238" s="257"/>
      <c r="I238" s="257"/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</row>
    <row r="239" ht="14.25" customHeight="1">
      <c r="A239" s="257"/>
      <c r="B239" s="257"/>
      <c r="C239" s="257"/>
      <c r="D239" s="257"/>
      <c r="E239" s="257"/>
      <c r="F239" s="257"/>
      <c r="G239" s="257"/>
      <c r="H239" s="257"/>
      <c r="I239" s="257"/>
      <c r="J239" s="257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</row>
    <row r="240" ht="14.25" customHeight="1">
      <c r="A240" s="257"/>
      <c r="B240" s="257"/>
      <c r="C240" s="257"/>
      <c r="D240" s="257"/>
      <c r="E240" s="257"/>
      <c r="F240" s="257"/>
      <c r="G240" s="257"/>
      <c r="H240" s="257"/>
      <c r="I240" s="257"/>
      <c r="J240" s="257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</row>
    <row r="241" ht="14.25" customHeight="1">
      <c r="A241" s="257"/>
      <c r="B241" s="257"/>
      <c r="C241" s="257"/>
      <c r="D241" s="257"/>
      <c r="E241" s="257"/>
      <c r="F241" s="257"/>
      <c r="G241" s="257"/>
      <c r="H241" s="257"/>
      <c r="I241" s="257"/>
      <c r="J241" s="257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</row>
    <row r="242" ht="14.25" customHeight="1">
      <c r="A242" s="257"/>
      <c r="B242" s="257"/>
      <c r="C242" s="257"/>
      <c r="D242" s="257"/>
      <c r="E242" s="257"/>
      <c r="F242" s="257"/>
      <c r="G242" s="257"/>
      <c r="H242" s="257"/>
      <c r="I242" s="257"/>
      <c r="J242" s="257"/>
      <c r="K242" s="257"/>
      <c r="L242" s="257"/>
      <c r="M242" s="257"/>
      <c r="N242" s="257"/>
      <c r="O242" s="257"/>
      <c r="P242" s="257"/>
      <c r="Q242" s="257"/>
      <c r="R242" s="257"/>
      <c r="S242" s="257"/>
      <c r="T242" s="257"/>
      <c r="U242" s="257"/>
      <c r="V242" s="257"/>
      <c r="W242" s="257"/>
      <c r="X242" s="257"/>
      <c r="Y242" s="257"/>
      <c r="Z242" s="257"/>
    </row>
    <row r="243" ht="14.25" customHeight="1">
      <c r="A243" s="257"/>
      <c r="B243" s="257"/>
      <c r="C243" s="257"/>
      <c r="D243" s="257"/>
      <c r="E243" s="257"/>
      <c r="F243" s="257"/>
      <c r="G243" s="257"/>
      <c r="H243" s="257"/>
      <c r="I243" s="257"/>
      <c r="J243" s="257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</row>
    <row r="244" ht="14.25" customHeight="1">
      <c r="A244" s="257"/>
      <c r="B244" s="257"/>
      <c r="C244" s="257"/>
      <c r="D244" s="257"/>
      <c r="E244" s="257"/>
      <c r="F244" s="257"/>
      <c r="G244" s="257"/>
      <c r="H244" s="257"/>
      <c r="I244" s="257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</row>
    <row r="245" ht="14.25" customHeight="1">
      <c r="A245" s="257"/>
      <c r="B245" s="257"/>
      <c r="C245" s="257"/>
      <c r="D245" s="257"/>
      <c r="E245" s="257"/>
      <c r="F245" s="257"/>
      <c r="G245" s="257"/>
      <c r="H245" s="257"/>
      <c r="I245" s="257"/>
      <c r="J245" s="257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</row>
    <row r="246" ht="14.25" customHeight="1">
      <c r="A246" s="257"/>
      <c r="B246" s="257"/>
      <c r="C246" s="257"/>
      <c r="D246" s="257"/>
      <c r="E246" s="257"/>
      <c r="F246" s="257"/>
      <c r="G246" s="257"/>
      <c r="H246" s="257"/>
      <c r="I246" s="257"/>
      <c r="J246" s="257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</row>
    <row r="247" ht="14.25" customHeight="1">
      <c r="A247" s="257"/>
      <c r="B247" s="257"/>
      <c r="C247" s="257"/>
      <c r="D247" s="257"/>
      <c r="E247" s="257"/>
      <c r="F247" s="257"/>
      <c r="G247" s="257"/>
      <c r="H247" s="257"/>
      <c r="I247" s="257"/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7"/>
      <c r="V247" s="257"/>
      <c r="W247" s="257"/>
      <c r="X247" s="257"/>
      <c r="Y247" s="257"/>
      <c r="Z247" s="257"/>
    </row>
    <row r="248" ht="14.25" customHeight="1">
      <c r="A248" s="257"/>
      <c r="B248" s="257"/>
      <c r="C248" s="257"/>
      <c r="D248" s="257"/>
      <c r="E248" s="257"/>
      <c r="F248" s="257"/>
      <c r="G248" s="257"/>
      <c r="H248" s="257"/>
      <c r="I248" s="257"/>
      <c r="J248" s="257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</row>
    <row r="249" ht="14.25" customHeight="1">
      <c r="A249" s="257"/>
      <c r="B249" s="257"/>
      <c r="C249" s="257"/>
      <c r="D249" s="257"/>
      <c r="E249" s="257"/>
      <c r="F249" s="257"/>
      <c r="G249" s="257"/>
      <c r="H249" s="257"/>
      <c r="I249" s="257"/>
      <c r="J249" s="257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</row>
    <row r="250" ht="14.25" customHeight="1">
      <c r="A250" s="257"/>
      <c r="B250" s="257"/>
      <c r="C250" s="257"/>
      <c r="D250" s="257"/>
      <c r="E250" s="257"/>
      <c r="F250" s="257"/>
      <c r="G250" s="257"/>
      <c r="H250" s="257"/>
      <c r="I250" s="257"/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</row>
    <row r="251" ht="14.25" customHeight="1">
      <c r="A251" s="257"/>
      <c r="B251" s="257"/>
      <c r="C251" s="257"/>
      <c r="D251" s="257"/>
      <c r="E251" s="257"/>
      <c r="F251" s="257"/>
      <c r="G251" s="257"/>
      <c r="H251" s="257"/>
      <c r="I251" s="257"/>
      <c r="J251" s="257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</row>
    <row r="252" ht="14.25" customHeight="1">
      <c r="A252" s="257"/>
      <c r="B252" s="257"/>
      <c r="C252" s="257"/>
      <c r="D252" s="257"/>
      <c r="E252" s="257"/>
      <c r="F252" s="257"/>
      <c r="G252" s="257"/>
      <c r="H252" s="257"/>
      <c r="I252" s="257"/>
      <c r="J252" s="257"/>
      <c r="K252" s="257"/>
      <c r="L252" s="257"/>
      <c r="M252" s="257"/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</row>
    <row r="253" ht="14.25" customHeight="1">
      <c r="A253" s="257"/>
      <c r="B253" s="257"/>
      <c r="C253" s="257"/>
      <c r="D253" s="257"/>
      <c r="E253" s="257"/>
      <c r="F253" s="257"/>
      <c r="G253" s="257"/>
      <c r="H253" s="257"/>
      <c r="I253" s="257"/>
      <c r="J253" s="257"/>
      <c r="K253" s="257"/>
      <c r="L253" s="257"/>
      <c r="M253" s="257"/>
      <c r="N253" s="257"/>
      <c r="O253" s="257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</row>
    <row r="254" ht="14.25" customHeight="1">
      <c r="A254" s="257"/>
      <c r="B254" s="257"/>
      <c r="C254" s="257"/>
      <c r="D254" s="257"/>
      <c r="E254" s="257"/>
      <c r="F254" s="257"/>
      <c r="G254" s="257"/>
      <c r="H254" s="257"/>
      <c r="I254" s="257"/>
      <c r="J254" s="257"/>
      <c r="K254" s="257"/>
      <c r="L254" s="257"/>
      <c r="M254" s="257"/>
      <c r="N254" s="257"/>
      <c r="O254" s="257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</row>
    <row r="255" ht="14.25" customHeight="1">
      <c r="A255" s="257"/>
      <c r="B255" s="257"/>
      <c r="C255" s="257"/>
      <c r="D255" s="257"/>
      <c r="E255" s="257"/>
      <c r="F255" s="257"/>
      <c r="G255" s="257"/>
      <c r="H255" s="257"/>
      <c r="I255" s="257"/>
      <c r="J255" s="257"/>
      <c r="K255" s="257"/>
      <c r="L255" s="257"/>
      <c r="M255" s="257"/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</row>
    <row r="256" ht="14.25" customHeight="1">
      <c r="A256" s="257"/>
      <c r="B256" s="257"/>
      <c r="C256" s="257"/>
      <c r="D256" s="257"/>
      <c r="E256" s="257"/>
      <c r="F256" s="257"/>
      <c r="G256" s="257"/>
      <c r="H256" s="257"/>
      <c r="I256" s="257"/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</row>
    <row r="257" ht="14.25" customHeight="1">
      <c r="A257" s="257"/>
      <c r="B257" s="257"/>
      <c r="C257" s="257"/>
      <c r="D257" s="257"/>
      <c r="E257" s="257"/>
      <c r="F257" s="257"/>
      <c r="G257" s="257"/>
      <c r="H257" s="257"/>
      <c r="I257" s="257"/>
      <c r="J257" s="257"/>
      <c r="K257" s="257"/>
      <c r="L257" s="257"/>
      <c r="M257" s="257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</row>
    <row r="258" ht="14.25" customHeight="1">
      <c r="A258" s="257"/>
      <c r="B258" s="257"/>
      <c r="C258" s="257"/>
      <c r="D258" s="257"/>
      <c r="E258" s="257"/>
      <c r="F258" s="257"/>
      <c r="G258" s="257"/>
      <c r="H258" s="257"/>
      <c r="I258" s="257"/>
      <c r="J258" s="257"/>
      <c r="K258" s="257"/>
      <c r="L258" s="257"/>
      <c r="M258" s="257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</row>
    <row r="259" ht="14.25" customHeight="1">
      <c r="A259" s="257"/>
      <c r="B259" s="257"/>
      <c r="C259" s="257"/>
      <c r="D259" s="257"/>
      <c r="E259" s="257"/>
      <c r="F259" s="257"/>
      <c r="G259" s="257"/>
      <c r="H259" s="257"/>
      <c r="I259" s="257"/>
      <c r="J259" s="257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</row>
    <row r="260" ht="14.25" customHeight="1">
      <c r="A260" s="257"/>
      <c r="B260" s="257"/>
      <c r="C260" s="257"/>
      <c r="D260" s="257"/>
      <c r="E260" s="257"/>
      <c r="F260" s="257"/>
      <c r="G260" s="257"/>
      <c r="H260" s="257"/>
      <c r="I260" s="257"/>
      <c r="J260" s="257"/>
      <c r="K260" s="257"/>
      <c r="L260" s="257"/>
      <c r="M260" s="257"/>
      <c r="N260" s="257"/>
      <c r="O260" s="257"/>
      <c r="P260" s="257"/>
      <c r="Q260" s="257"/>
      <c r="R260" s="257"/>
      <c r="S260" s="257"/>
      <c r="T260" s="257"/>
      <c r="U260" s="257"/>
      <c r="V260" s="257"/>
      <c r="W260" s="257"/>
      <c r="X260" s="257"/>
      <c r="Y260" s="257"/>
      <c r="Z260" s="257"/>
    </row>
    <row r="261" ht="14.25" customHeight="1">
      <c r="A261" s="257"/>
      <c r="B261" s="257"/>
      <c r="C261" s="257"/>
      <c r="D261" s="257"/>
      <c r="E261" s="257"/>
      <c r="F261" s="257"/>
      <c r="G261" s="257"/>
      <c r="H261" s="257"/>
      <c r="I261" s="257"/>
      <c r="J261" s="257"/>
      <c r="K261" s="257"/>
      <c r="L261" s="257"/>
      <c r="M261" s="257"/>
      <c r="N261" s="257"/>
      <c r="O261" s="257"/>
      <c r="P261" s="257"/>
      <c r="Q261" s="257"/>
      <c r="R261" s="257"/>
      <c r="S261" s="257"/>
      <c r="T261" s="257"/>
      <c r="U261" s="257"/>
      <c r="V261" s="257"/>
      <c r="W261" s="257"/>
      <c r="X261" s="257"/>
      <c r="Y261" s="257"/>
      <c r="Z261" s="257"/>
    </row>
    <row r="262" ht="14.25" customHeight="1">
      <c r="A262" s="257"/>
      <c r="B262" s="257"/>
      <c r="C262" s="257"/>
      <c r="D262" s="257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</row>
    <row r="263" ht="14.25" customHeight="1">
      <c r="A263" s="257"/>
      <c r="B263" s="257"/>
      <c r="C263" s="257"/>
      <c r="D263" s="257"/>
      <c r="E263" s="257"/>
      <c r="F263" s="257"/>
      <c r="G263" s="257"/>
      <c r="H263" s="257"/>
      <c r="I263" s="257"/>
      <c r="J263" s="257"/>
      <c r="K263" s="257"/>
      <c r="L263" s="257"/>
      <c r="M263" s="257"/>
      <c r="N263" s="257"/>
      <c r="O263" s="257"/>
      <c r="P263" s="257"/>
      <c r="Q263" s="257"/>
      <c r="R263" s="257"/>
      <c r="S263" s="257"/>
      <c r="T263" s="257"/>
      <c r="U263" s="257"/>
      <c r="V263" s="257"/>
      <c r="W263" s="257"/>
      <c r="X263" s="257"/>
      <c r="Y263" s="257"/>
      <c r="Z263" s="257"/>
    </row>
    <row r="264" ht="14.25" customHeight="1">
      <c r="A264" s="257"/>
      <c r="B264" s="257"/>
      <c r="C264" s="257"/>
      <c r="D264" s="257"/>
      <c r="E264" s="257"/>
      <c r="F264" s="257"/>
      <c r="G264" s="257"/>
      <c r="H264" s="257"/>
      <c r="I264" s="257"/>
      <c r="J264" s="257"/>
      <c r="K264" s="257"/>
      <c r="L264" s="257"/>
      <c r="M264" s="257"/>
      <c r="N264" s="257"/>
      <c r="O264" s="257"/>
      <c r="P264" s="257"/>
      <c r="Q264" s="257"/>
      <c r="R264" s="257"/>
      <c r="S264" s="257"/>
      <c r="T264" s="257"/>
      <c r="U264" s="257"/>
      <c r="V264" s="257"/>
      <c r="W264" s="257"/>
      <c r="X264" s="257"/>
      <c r="Y264" s="257"/>
      <c r="Z264" s="257"/>
    </row>
    <row r="265" ht="14.25" customHeight="1">
      <c r="A265" s="257"/>
      <c r="B265" s="257"/>
      <c r="C265" s="257"/>
      <c r="D265" s="257"/>
      <c r="E265" s="257"/>
      <c r="F265" s="257"/>
      <c r="G265" s="257"/>
      <c r="H265" s="257"/>
      <c r="I265" s="257"/>
      <c r="J265" s="257"/>
      <c r="K265" s="257"/>
      <c r="L265" s="257"/>
      <c r="M265" s="257"/>
      <c r="N265" s="257"/>
      <c r="O265" s="257"/>
      <c r="P265" s="257"/>
      <c r="Q265" s="257"/>
      <c r="R265" s="257"/>
      <c r="S265" s="257"/>
      <c r="T265" s="257"/>
      <c r="U265" s="257"/>
      <c r="V265" s="257"/>
      <c r="W265" s="257"/>
      <c r="X265" s="257"/>
      <c r="Y265" s="257"/>
      <c r="Z265" s="257"/>
    </row>
    <row r="266" ht="14.25" customHeight="1">
      <c r="A266" s="257"/>
      <c r="B266" s="257"/>
      <c r="C266" s="257"/>
      <c r="D266" s="257"/>
      <c r="E266" s="257"/>
      <c r="F266" s="257"/>
      <c r="G266" s="257"/>
      <c r="H266" s="257"/>
      <c r="I266" s="257"/>
      <c r="J266" s="257"/>
      <c r="K266" s="257"/>
      <c r="L266" s="257"/>
      <c r="M266" s="257"/>
      <c r="N266" s="257"/>
      <c r="O266" s="257"/>
      <c r="P266" s="257"/>
      <c r="Q266" s="257"/>
      <c r="R266" s="257"/>
      <c r="S266" s="257"/>
      <c r="T266" s="257"/>
      <c r="U266" s="257"/>
      <c r="V266" s="257"/>
      <c r="W266" s="257"/>
      <c r="X266" s="257"/>
      <c r="Y266" s="257"/>
      <c r="Z266" s="257"/>
    </row>
    <row r="267" ht="14.25" customHeight="1">
      <c r="A267" s="257"/>
      <c r="B267" s="257"/>
      <c r="C267" s="257"/>
      <c r="D267" s="257"/>
      <c r="E267" s="257"/>
      <c r="F267" s="257"/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57"/>
      <c r="T267" s="257"/>
      <c r="U267" s="257"/>
      <c r="V267" s="257"/>
      <c r="W267" s="257"/>
      <c r="X267" s="257"/>
      <c r="Y267" s="257"/>
      <c r="Z267" s="257"/>
    </row>
    <row r="268" ht="14.25" customHeight="1">
      <c r="A268" s="257"/>
      <c r="B268" s="257"/>
      <c r="C268" s="257"/>
      <c r="D268" s="257"/>
      <c r="E268" s="257"/>
      <c r="F268" s="257"/>
      <c r="G268" s="257"/>
      <c r="H268" s="257"/>
      <c r="I268" s="257"/>
      <c r="J268" s="257"/>
      <c r="K268" s="257"/>
      <c r="L268" s="257"/>
      <c r="M268" s="257"/>
      <c r="N268" s="257"/>
      <c r="O268" s="257"/>
      <c r="P268" s="257"/>
      <c r="Q268" s="257"/>
      <c r="R268" s="257"/>
      <c r="S268" s="257"/>
      <c r="T268" s="257"/>
      <c r="U268" s="257"/>
      <c r="V268" s="257"/>
      <c r="W268" s="257"/>
      <c r="X268" s="257"/>
      <c r="Y268" s="257"/>
      <c r="Z268" s="257"/>
    </row>
    <row r="269" ht="14.25" customHeight="1">
      <c r="A269" s="257"/>
      <c r="B269" s="257"/>
      <c r="C269" s="257"/>
      <c r="D269" s="257"/>
      <c r="E269" s="257"/>
      <c r="F269" s="257"/>
      <c r="G269" s="257"/>
      <c r="H269" s="257"/>
      <c r="I269" s="257"/>
      <c r="J269" s="257"/>
      <c r="K269" s="257"/>
      <c r="L269" s="257"/>
      <c r="M269" s="257"/>
      <c r="N269" s="257"/>
      <c r="O269" s="257"/>
      <c r="P269" s="257"/>
      <c r="Q269" s="257"/>
      <c r="R269" s="257"/>
      <c r="S269" s="257"/>
      <c r="T269" s="257"/>
      <c r="U269" s="257"/>
      <c r="V269" s="257"/>
      <c r="W269" s="257"/>
      <c r="X269" s="257"/>
      <c r="Y269" s="257"/>
      <c r="Z269" s="257"/>
    </row>
    <row r="270" ht="14.25" customHeight="1">
      <c r="A270" s="257"/>
      <c r="B270" s="257"/>
      <c r="C270" s="257"/>
      <c r="D270" s="257"/>
      <c r="E270" s="257"/>
      <c r="F270" s="257"/>
      <c r="G270" s="257"/>
      <c r="H270" s="257"/>
      <c r="I270" s="257"/>
      <c r="J270" s="257"/>
      <c r="K270" s="257"/>
      <c r="L270" s="257"/>
      <c r="M270" s="257"/>
      <c r="N270" s="257"/>
      <c r="O270" s="257"/>
      <c r="P270" s="257"/>
      <c r="Q270" s="257"/>
      <c r="R270" s="257"/>
      <c r="S270" s="257"/>
      <c r="T270" s="257"/>
      <c r="U270" s="257"/>
      <c r="V270" s="257"/>
      <c r="W270" s="257"/>
      <c r="X270" s="257"/>
      <c r="Y270" s="257"/>
      <c r="Z270" s="257"/>
    </row>
    <row r="271" ht="14.25" customHeight="1">
      <c r="A271" s="257"/>
      <c r="B271" s="257"/>
      <c r="C271" s="257"/>
      <c r="D271" s="257"/>
      <c r="E271" s="257"/>
      <c r="F271" s="257"/>
      <c r="G271" s="257"/>
      <c r="H271" s="257"/>
      <c r="I271" s="257"/>
      <c r="J271" s="257"/>
      <c r="K271" s="257"/>
      <c r="L271" s="257"/>
      <c r="M271" s="257"/>
      <c r="N271" s="257"/>
      <c r="O271" s="257"/>
      <c r="P271" s="257"/>
      <c r="Q271" s="257"/>
      <c r="R271" s="257"/>
      <c r="S271" s="257"/>
      <c r="T271" s="257"/>
      <c r="U271" s="257"/>
      <c r="V271" s="257"/>
      <c r="W271" s="257"/>
      <c r="X271" s="257"/>
      <c r="Y271" s="257"/>
      <c r="Z271" s="257"/>
    </row>
    <row r="272" ht="14.25" customHeight="1">
      <c r="A272" s="257"/>
      <c r="B272" s="257"/>
      <c r="C272" s="257"/>
      <c r="D272" s="257"/>
      <c r="E272" s="257"/>
      <c r="F272" s="257"/>
      <c r="G272" s="257"/>
      <c r="H272" s="257"/>
      <c r="I272" s="257"/>
      <c r="J272" s="257"/>
      <c r="K272" s="257"/>
      <c r="L272" s="257"/>
      <c r="M272" s="257"/>
      <c r="N272" s="257"/>
      <c r="O272" s="257"/>
      <c r="P272" s="257"/>
      <c r="Q272" s="257"/>
      <c r="R272" s="257"/>
      <c r="S272" s="257"/>
      <c r="T272" s="257"/>
      <c r="U272" s="257"/>
      <c r="V272" s="257"/>
      <c r="W272" s="257"/>
      <c r="X272" s="257"/>
      <c r="Y272" s="257"/>
      <c r="Z272" s="257"/>
    </row>
    <row r="273" ht="14.25" customHeight="1">
      <c r="A273" s="257"/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  <c r="L273" s="257"/>
      <c r="M273" s="257"/>
      <c r="N273" s="257"/>
      <c r="O273" s="257"/>
      <c r="P273" s="257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</row>
    <row r="274" ht="14.25" customHeight="1">
      <c r="A274" s="257"/>
      <c r="B274" s="257"/>
      <c r="C274" s="257"/>
      <c r="D274" s="257"/>
      <c r="E274" s="257"/>
      <c r="F274" s="257"/>
      <c r="G274" s="257"/>
      <c r="H274" s="257"/>
      <c r="I274" s="257"/>
      <c r="J274" s="257"/>
      <c r="K274" s="257"/>
      <c r="L274" s="257"/>
      <c r="M274" s="257"/>
      <c r="N274" s="257"/>
      <c r="O274" s="257"/>
      <c r="P274" s="257"/>
      <c r="Q274" s="257"/>
      <c r="R274" s="257"/>
      <c r="S274" s="257"/>
      <c r="T274" s="257"/>
      <c r="U274" s="257"/>
      <c r="V274" s="257"/>
      <c r="W274" s="257"/>
      <c r="X274" s="257"/>
      <c r="Y274" s="257"/>
      <c r="Z274" s="257"/>
    </row>
    <row r="275" ht="14.25" customHeight="1">
      <c r="A275" s="257"/>
      <c r="B275" s="257"/>
      <c r="C275" s="257"/>
      <c r="D275" s="257"/>
      <c r="E275" s="257"/>
      <c r="F275" s="257"/>
      <c r="G275" s="257"/>
      <c r="H275" s="257"/>
      <c r="I275" s="257"/>
      <c r="J275" s="257"/>
      <c r="K275" s="257"/>
      <c r="L275" s="257"/>
      <c r="M275" s="257"/>
      <c r="N275" s="257"/>
      <c r="O275" s="257"/>
      <c r="P275" s="257"/>
      <c r="Q275" s="257"/>
      <c r="R275" s="257"/>
      <c r="S275" s="257"/>
      <c r="T275" s="257"/>
      <c r="U275" s="257"/>
      <c r="V275" s="257"/>
      <c r="W275" s="257"/>
      <c r="X275" s="257"/>
      <c r="Y275" s="257"/>
      <c r="Z275" s="257"/>
    </row>
    <row r="276" ht="14.25" customHeight="1">
      <c r="A276" s="257"/>
      <c r="B276" s="257"/>
      <c r="C276" s="257"/>
      <c r="D276" s="257"/>
      <c r="E276" s="257"/>
      <c r="F276" s="257"/>
      <c r="G276" s="257"/>
      <c r="H276" s="257"/>
      <c r="I276" s="257"/>
      <c r="J276" s="257"/>
      <c r="K276" s="257"/>
      <c r="L276" s="257"/>
      <c r="M276" s="257"/>
      <c r="N276" s="257"/>
      <c r="O276" s="257"/>
      <c r="P276" s="257"/>
      <c r="Q276" s="257"/>
      <c r="R276" s="257"/>
      <c r="S276" s="257"/>
      <c r="T276" s="257"/>
      <c r="U276" s="257"/>
      <c r="V276" s="257"/>
      <c r="W276" s="257"/>
      <c r="X276" s="257"/>
      <c r="Y276" s="257"/>
      <c r="Z276" s="257"/>
    </row>
    <row r="277" ht="14.25" customHeight="1">
      <c r="A277" s="257"/>
      <c r="B277" s="257"/>
      <c r="C277" s="257"/>
      <c r="D277" s="257"/>
      <c r="E277" s="257"/>
      <c r="F277" s="257"/>
      <c r="G277" s="257"/>
      <c r="H277" s="257"/>
      <c r="I277" s="257"/>
      <c r="J277" s="257"/>
      <c r="K277" s="257"/>
      <c r="L277" s="257"/>
      <c r="M277" s="257"/>
      <c r="N277" s="257"/>
      <c r="O277" s="257"/>
      <c r="P277" s="257"/>
      <c r="Q277" s="257"/>
      <c r="R277" s="257"/>
      <c r="S277" s="257"/>
      <c r="T277" s="257"/>
      <c r="U277" s="257"/>
      <c r="V277" s="257"/>
      <c r="W277" s="257"/>
      <c r="X277" s="257"/>
      <c r="Y277" s="257"/>
      <c r="Z277" s="257"/>
    </row>
    <row r="278" ht="14.25" customHeight="1">
      <c r="A278" s="257"/>
      <c r="B278" s="257"/>
      <c r="C278" s="257"/>
      <c r="D278" s="257"/>
      <c r="E278" s="257"/>
      <c r="F278" s="257"/>
      <c r="G278" s="257"/>
      <c r="H278" s="257"/>
      <c r="I278" s="257"/>
      <c r="J278" s="257"/>
      <c r="K278" s="257"/>
      <c r="L278" s="257"/>
      <c r="M278" s="257"/>
      <c r="N278" s="257"/>
      <c r="O278" s="257"/>
      <c r="P278" s="257"/>
      <c r="Q278" s="257"/>
      <c r="R278" s="257"/>
      <c r="S278" s="257"/>
      <c r="T278" s="257"/>
      <c r="U278" s="257"/>
      <c r="V278" s="257"/>
      <c r="W278" s="257"/>
      <c r="X278" s="257"/>
      <c r="Y278" s="257"/>
      <c r="Z278" s="257"/>
    </row>
    <row r="279" ht="14.25" customHeight="1">
      <c r="A279" s="257"/>
      <c r="B279" s="257"/>
      <c r="C279" s="257"/>
      <c r="D279" s="257"/>
      <c r="E279" s="257"/>
      <c r="F279" s="257"/>
      <c r="G279" s="257"/>
      <c r="H279" s="257"/>
      <c r="I279" s="257"/>
      <c r="J279" s="257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7"/>
      <c r="X279" s="257"/>
      <c r="Y279" s="257"/>
      <c r="Z279" s="257"/>
    </row>
    <row r="280" ht="14.25" customHeight="1">
      <c r="A280" s="257"/>
      <c r="B280" s="257"/>
      <c r="C280" s="257"/>
      <c r="D280" s="257"/>
      <c r="E280" s="257"/>
      <c r="F280" s="257"/>
      <c r="G280" s="257"/>
      <c r="H280" s="257"/>
      <c r="I280" s="257"/>
      <c r="J280" s="257"/>
      <c r="K280" s="257"/>
      <c r="L280" s="257"/>
      <c r="M280" s="257"/>
      <c r="N280" s="257"/>
      <c r="O280" s="257"/>
      <c r="P280" s="257"/>
      <c r="Q280" s="257"/>
      <c r="R280" s="257"/>
      <c r="S280" s="257"/>
      <c r="T280" s="257"/>
      <c r="U280" s="257"/>
      <c r="V280" s="257"/>
      <c r="W280" s="257"/>
      <c r="X280" s="257"/>
      <c r="Y280" s="257"/>
      <c r="Z280" s="257"/>
    </row>
    <row r="281" ht="14.25" customHeight="1">
      <c r="A281" s="257"/>
      <c r="B281" s="257"/>
      <c r="C281" s="257"/>
      <c r="D281" s="257"/>
      <c r="E281" s="257"/>
      <c r="F281" s="257"/>
      <c r="G281" s="257"/>
      <c r="H281" s="257"/>
      <c r="I281" s="257"/>
      <c r="J281" s="257"/>
      <c r="K281" s="257"/>
      <c r="L281" s="257"/>
      <c r="M281" s="257"/>
      <c r="N281" s="257"/>
      <c r="O281" s="257"/>
      <c r="P281" s="257"/>
      <c r="Q281" s="257"/>
      <c r="R281" s="257"/>
      <c r="S281" s="257"/>
      <c r="T281" s="257"/>
      <c r="U281" s="257"/>
      <c r="V281" s="257"/>
      <c r="W281" s="257"/>
      <c r="X281" s="257"/>
      <c r="Y281" s="257"/>
      <c r="Z281" s="257"/>
    </row>
    <row r="282" ht="14.25" customHeight="1">
      <c r="A282" s="257"/>
      <c r="B282" s="257"/>
      <c r="C282" s="257"/>
      <c r="D282" s="257"/>
      <c r="E282" s="257"/>
      <c r="F282" s="257"/>
      <c r="G282" s="257"/>
      <c r="H282" s="257"/>
      <c r="I282" s="257"/>
      <c r="J282" s="257"/>
      <c r="K282" s="257"/>
      <c r="L282" s="257"/>
      <c r="M282" s="257"/>
      <c r="N282" s="257"/>
      <c r="O282" s="257"/>
      <c r="P282" s="257"/>
      <c r="Q282" s="257"/>
      <c r="R282" s="257"/>
      <c r="S282" s="257"/>
      <c r="T282" s="257"/>
      <c r="U282" s="257"/>
      <c r="V282" s="257"/>
      <c r="W282" s="257"/>
      <c r="X282" s="257"/>
      <c r="Y282" s="257"/>
      <c r="Z282" s="257"/>
    </row>
    <row r="283" ht="14.25" customHeight="1">
      <c r="A283" s="257"/>
      <c r="B283" s="257"/>
      <c r="C283" s="257"/>
      <c r="D283" s="257"/>
      <c r="E283" s="257"/>
      <c r="F283" s="257"/>
      <c r="G283" s="257"/>
      <c r="H283" s="257"/>
      <c r="I283" s="257"/>
      <c r="J283" s="257"/>
      <c r="K283" s="257"/>
      <c r="L283" s="257"/>
      <c r="M283" s="257"/>
      <c r="N283" s="257"/>
      <c r="O283" s="257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</row>
    <row r="284" ht="14.25" customHeight="1">
      <c r="A284" s="257"/>
      <c r="B284" s="257"/>
      <c r="C284" s="257"/>
      <c r="D284" s="257"/>
      <c r="E284" s="257"/>
      <c r="F284" s="257"/>
      <c r="G284" s="257"/>
      <c r="H284" s="257"/>
      <c r="I284" s="257"/>
      <c r="J284" s="257"/>
      <c r="K284" s="257"/>
      <c r="L284" s="257"/>
      <c r="M284" s="257"/>
      <c r="N284" s="257"/>
      <c r="O284" s="257"/>
      <c r="P284" s="257"/>
      <c r="Q284" s="257"/>
      <c r="R284" s="257"/>
      <c r="S284" s="257"/>
      <c r="T284" s="257"/>
      <c r="U284" s="257"/>
      <c r="V284" s="257"/>
      <c r="W284" s="257"/>
      <c r="X284" s="257"/>
      <c r="Y284" s="257"/>
      <c r="Z284" s="257"/>
    </row>
    <row r="285" ht="14.25" customHeight="1">
      <c r="A285" s="257"/>
      <c r="B285" s="257"/>
      <c r="C285" s="257"/>
      <c r="D285" s="257"/>
      <c r="E285" s="257"/>
      <c r="F285" s="257"/>
      <c r="G285" s="257"/>
      <c r="H285" s="257"/>
      <c r="I285" s="257"/>
      <c r="J285" s="257"/>
      <c r="K285" s="257"/>
      <c r="L285" s="257"/>
      <c r="M285" s="257"/>
      <c r="N285" s="257"/>
      <c r="O285" s="257"/>
      <c r="P285" s="257"/>
      <c r="Q285" s="257"/>
      <c r="R285" s="257"/>
      <c r="S285" s="257"/>
      <c r="T285" s="257"/>
      <c r="U285" s="257"/>
      <c r="V285" s="257"/>
      <c r="W285" s="257"/>
      <c r="X285" s="257"/>
      <c r="Y285" s="257"/>
      <c r="Z285" s="257"/>
    </row>
    <row r="286" ht="14.25" customHeight="1">
      <c r="A286" s="257"/>
      <c r="B286" s="257"/>
      <c r="C286" s="257"/>
      <c r="D286" s="257"/>
      <c r="E286" s="257"/>
      <c r="F286" s="257"/>
      <c r="G286" s="257"/>
      <c r="H286" s="257"/>
      <c r="I286" s="257"/>
      <c r="J286" s="257"/>
      <c r="K286" s="257"/>
      <c r="L286" s="257"/>
      <c r="M286" s="257"/>
      <c r="N286" s="257"/>
      <c r="O286" s="257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</row>
    <row r="287" ht="14.25" customHeight="1">
      <c r="A287" s="257"/>
      <c r="B287" s="257"/>
      <c r="C287" s="257"/>
      <c r="D287" s="257"/>
      <c r="E287" s="257"/>
      <c r="F287" s="257"/>
      <c r="G287" s="257"/>
      <c r="H287" s="257"/>
      <c r="I287" s="257"/>
      <c r="J287" s="257"/>
      <c r="K287" s="257"/>
      <c r="L287" s="257"/>
      <c r="M287" s="257"/>
      <c r="N287" s="257"/>
      <c r="O287" s="257"/>
      <c r="P287" s="257"/>
      <c r="Q287" s="257"/>
      <c r="R287" s="257"/>
      <c r="S287" s="257"/>
      <c r="T287" s="257"/>
      <c r="U287" s="257"/>
      <c r="V287" s="257"/>
      <c r="W287" s="257"/>
      <c r="X287" s="257"/>
      <c r="Y287" s="257"/>
      <c r="Z287" s="257"/>
    </row>
    <row r="288" ht="14.25" customHeight="1">
      <c r="A288" s="257"/>
      <c r="B288" s="257"/>
      <c r="C288" s="257"/>
      <c r="D288" s="257"/>
      <c r="E288" s="257"/>
      <c r="F288" s="257"/>
      <c r="G288" s="257"/>
      <c r="H288" s="257"/>
      <c r="I288" s="257"/>
      <c r="J288" s="257"/>
      <c r="K288" s="257"/>
      <c r="L288" s="257"/>
      <c r="M288" s="257"/>
      <c r="N288" s="257"/>
      <c r="O288" s="257"/>
      <c r="P288" s="257"/>
      <c r="Q288" s="257"/>
      <c r="R288" s="257"/>
      <c r="S288" s="257"/>
      <c r="T288" s="257"/>
      <c r="U288" s="257"/>
      <c r="V288" s="257"/>
      <c r="W288" s="257"/>
      <c r="X288" s="257"/>
      <c r="Y288" s="257"/>
      <c r="Z288" s="257"/>
    </row>
    <row r="289" ht="14.25" customHeight="1">
      <c r="A289" s="257"/>
      <c r="B289" s="257"/>
      <c r="C289" s="257"/>
      <c r="D289" s="257"/>
      <c r="E289" s="257"/>
      <c r="F289" s="257"/>
      <c r="G289" s="257"/>
      <c r="H289" s="257"/>
      <c r="I289" s="257"/>
      <c r="J289" s="257"/>
      <c r="K289" s="257"/>
      <c r="L289" s="257"/>
      <c r="M289" s="257"/>
      <c r="N289" s="257"/>
      <c r="O289" s="257"/>
      <c r="P289" s="257"/>
      <c r="Q289" s="257"/>
      <c r="R289" s="257"/>
      <c r="S289" s="257"/>
      <c r="T289" s="257"/>
      <c r="U289" s="257"/>
      <c r="V289" s="257"/>
      <c r="W289" s="257"/>
      <c r="X289" s="257"/>
      <c r="Y289" s="257"/>
      <c r="Z289" s="257"/>
    </row>
    <row r="290" ht="14.25" customHeight="1">
      <c r="A290" s="257"/>
      <c r="B290" s="257"/>
      <c r="C290" s="257"/>
      <c r="D290" s="257"/>
      <c r="E290" s="257"/>
      <c r="F290" s="257"/>
      <c r="G290" s="257"/>
      <c r="H290" s="257"/>
      <c r="I290" s="257"/>
      <c r="J290" s="257"/>
      <c r="K290" s="257"/>
      <c r="L290" s="257"/>
      <c r="M290" s="257"/>
      <c r="N290" s="257"/>
      <c r="O290" s="257"/>
      <c r="P290" s="257"/>
      <c r="Q290" s="257"/>
      <c r="R290" s="257"/>
      <c r="S290" s="257"/>
      <c r="T290" s="257"/>
      <c r="U290" s="257"/>
      <c r="V290" s="257"/>
      <c r="W290" s="257"/>
      <c r="X290" s="257"/>
      <c r="Y290" s="257"/>
      <c r="Z290" s="257"/>
    </row>
    <row r="291" ht="14.25" customHeight="1">
      <c r="A291" s="257"/>
      <c r="B291" s="257"/>
      <c r="C291" s="257"/>
      <c r="D291" s="257"/>
      <c r="E291" s="257"/>
      <c r="F291" s="257"/>
      <c r="G291" s="257"/>
      <c r="H291" s="257"/>
      <c r="I291" s="257"/>
      <c r="J291" s="257"/>
      <c r="K291" s="257"/>
      <c r="L291" s="257"/>
      <c r="M291" s="257"/>
      <c r="N291" s="257"/>
      <c r="O291" s="257"/>
      <c r="P291" s="257"/>
      <c r="Q291" s="257"/>
      <c r="R291" s="257"/>
      <c r="S291" s="257"/>
      <c r="T291" s="257"/>
      <c r="U291" s="257"/>
      <c r="V291" s="257"/>
      <c r="W291" s="257"/>
      <c r="X291" s="257"/>
      <c r="Y291" s="257"/>
      <c r="Z291" s="257"/>
    </row>
    <row r="292" ht="14.25" customHeight="1">
      <c r="A292" s="257"/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57"/>
      <c r="Q292" s="257"/>
      <c r="R292" s="257"/>
      <c r="S292" s="257"/>
      <c r="T292" s="257"/>
      <c r="U292" s="257"/>
      <c r="V292" s="257"/>
      <c r="W292" s="257"/>
      <c r="X292" s="257"/>
      <c r="Y292" s="257"/>
      <c r="Z292" s="257"/>
    </row>
    <row r="293" ht="14.25" customHeight="1">
      <c r="A293" s="257"/>
      <c r="B293" s="257"/>
      <c r="C293" s="257"/>
      <c r="D293" s="257"/>
      <c r="E293" s="257"/>
      <c r="F293" s="257"/>
      <c r="G293" s="257"/>
      <c r="H293" s="257"/>
      <c r="I293" s="257"/>
      <c r="J293" s="257"/>
      <c r="K293" s="257"/>
      <c r="L293" s="257"/>
      <c r="M293" s="257"/>
      <c r="N293" s="257"/>
      <c r="O293" s="257"/>
      <c r="P293" s="257"/>
      <c r="Q293" s="257"/>
      <c r="R293" s="257"/>
      <c r="S293" s="257"/>
      <c r="T293" s="257"/>
      <c r="U293" s="257"/>
      <c r="V293" s="257"/>
      <c r="W293" s="257"/>
      <c r="X293" s="257"/>
      <c r="Y293" s="257"/>
      <c r="Z293" s="257"/>
    </row>
    <row r="294" ht="14.25" customHeight="1">
      <c r="A294" s="257"/>
      <c r="B294" s="257"/>
      <c r="C294" s="257"/>
      <c r="D294" s="257"/>
      <c r="E294" s="257"/>
      <c r="F294" s="257"/>
      <c r="G294" s="257"/>
      <c r="H294" s="257"/>
      <c r="I294" s="257"/>
      <c r="J294" s="257"/>
      <c r="K294" s="257"/>
      <c r="L294" s="257"/>
      <c r="M294" s="257"/>
      <c r="N294" s="257"/>
      <c r="O294" s="257"/>
      <c r="P294" s="257"/>
      <c r="Q294" s="257"/>
      <c r="R294" s="257"/>
      <c r="S294" s="257"/>
      <c r="T294" s="257"/>
      <c r="U294" s="257"/>
      <c r="V294" s="257"/>
      <c r="W294" s="257"/>
      <c r="X294" s="257"/>
      <c r="Y294" s="257"/>
      <c r="Z294" s="257"/>
    </row>
    <row r="295" ht="14.25" customHeight="1">
      <c r="A295" s="257"/>
      <c r="B295" s="257"/>
      <c r="C295" s="257"/>
      <c r="D295" s="257"/>
      <c r="E295" s="257"/>
      <c r="F295" s="257"/>
      <c r="G295" s="257"/>
      <c r="H295" s="257"/>
      <c r="I295" s="257"/>
      <c r="J295" s="257"/>
      <c r="K295" s="257"/>
      <c r="L295" s="257"/>
      <c r="M295" s="257"/>
      <c r="N295" s="257"/>
      <c r="O295" s="257"/>
      <c r="P295" s="257"/>
      <c r="Q295" s="257"/>
      <c r="R295" s="257"/>
      <c r="S295" s="257"/>
      <c r="T295" s="257"/>
      <c r="U295" s="257"/>
      <c r="V295" s="257"/>
      <c r="W295" s="257"/>
      <c r="X295" s="257"/>
      <c r="Y295" s="257"/>
      <c r="Z295" s="257"/>
    </row>
    <row r="296" ht="14.25" customHeight="1">
      <c r="A296" s="257"/>
      <c r="B296" s="257"/>
      <c r="C296" s="257"/>
      <c r="D296" s="257"/>
      <c r="E296" s="257"/>
      <c r="F296" s="257"/>
      <c r="G296" s="257"/>
      <c r="H296" s="257"/>
      <c r="I296" s="257"/>
      <c r="J296" s="257"/>
      <c r="K296" s="257"/>
      <c r="L296" s="257"/>
      <c r="M296" s="257"/>
      <c r="N296" s="257"/>
      <c r="O296" s="257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</row>
    <row r="297" ht="14.25" customHeight="1">
      <c r="A297" s="257"/>
      <c r="B297" s="257"/>
      <c r="C297" s="257"/>
      <c r="D297" s="257"/>
      <c r="E297" s="257"/>
      <c r="F297" s="257"/>
      <c r="G297" s="257"/>
      <c r="H297" s="257"/>
      <c r="I297" s="257"/>
      <c r="J297" s="257"/>
      <c r="K297" s="257"/>
      <c r="L297" s="257"/>
      <c r="M297" s="257"/>
      <c r="N297" s="257"/>
      <c r="O297" s="257"/>
      <c r="P297" s="257"/>
      <c r="Q297" s="257"/>
      <c r="R297" s="257"/>
      <c r="S297" s="257"/>
      <c r="T297" s="257"/>
      <c r="U297" s="257"/>
      <c r="V297" s="257"/>
      <c r="W297" s="257"/>
      <c r="X297" s="257"/>
      <c r="Y297" s="257"/>
      <c r="Z297" s="257"/>
    </row>
    <row r="298" ht="14.25" customHeight="1">
      <c r="A298" s="257"/>
      <c r="B298" s="257"/>
      <c r="C298" s="257"/>
      <c r="D298" s="257"/>
      <c r="E298" s="257"/>
      <c r="F298" s="257"/>
      <c r="G298" s="257"/>
      <c r="H298" s="257"/>
      <c r="I298" s="257"/>
      <c r="J298" s="257"/>
      <c r="K298" s="257"/>
      <c r="L298" s="257"/>
      <c r="M298" s="257"/>
      <c r="N298" s="257"/>
      <c r="O298" s="257"/>
      <c r="P298" s="257"/>
      <c r="Q298" s="257"/>
      <c r="R298" s="257"/>
      <c r="S298" s="257"/>
      <c r="T298" s="257"/>
      <c r="U298" s="257"/>
      <c r="V298" s="257"/>
      <c r="W298" s="257"/>
      <c r="X298" s="257"/>
      <c r="Y298" s="257"/>
      <c r="Z298" s="257"/>
    </row>
    <row r="299" ht="14.25" customHeight="1">
      <c r="A299" s="257"/>
      <c r="B299" s="257"/>
      <c r="C299" s="257"/>
      <c r="D299" s="257"/>
      <c r="E299" s="257"/>
      <c r="F299" s="257"/>
      <c r="G299" s="257"/>
      <c r="H299" s="257"/>
      <c r="I299" s="257"/>
      <c r="J299" s="257"/>
      <c r="K299" s="257"/>
      <c r="L299" s="257"/>
      <c r="M299" s="257"/>
      <c r="N299" s="257"/>
      <c r="O299" s="257"/>
      <c r="P299" s="257"/>
      <c r="Q299" s="257"/>
      <c r="R299" s="257"/>
      <c r="S299" s="257"/>
      <c r="T299" s="257"/>
      <c r="U299" s="257"/>
      <c r="V299" s="257"/>
      <c r="W299" s="257"/>
      <c r="X299" s="257"/>
      <c r="Y299" s="257"/>
      <c r="Z299" s="257"/>
    </row>
    <row r="300" ht="14.25" customHeight="1">
      <c r="A300" s="257"/>
      <c r="B300" s="257"/>
      <c r="C300" s="257"/>
      <c r="D300" s="257"/>
      <c r="E300" s="257"/>
      <c r="F300" s="257"/>
      <c r="G300" s="257"/>
      <c r="H300" s="257"/>
      <c r="I300" s="257"/>
      <c r="J300" s="257"/>
      <c r="K300" s="257"/>
      <c r="L300" s="257"/>
      <c r="M300" s="257"/>
      <c r="N300" s="257"/>
      <c r="O300" s="257"/>
      <c r="P300" s="257"/>
      <c r="Q300" s="257"/>
      <c r="R300" s="257"/>
      <c r="S300" s="257"/>
      <c r="T300" s="257"/>
      <c r="U300" s="257"/>
      <c r="V300" s="257"/>
      <c r="W300" s="257"/>
      <c r="X300" s="257"/>
      <c r="Y300" s="257"/>
      <c r="Z300" s="257"/>
    </row>
    <row r="301" ht="14.25" customHeight="1">
      <c r="A301" s="257"/>
      <c r="B301" s="257"/>
      <c r="C301" s="257"/>
      <c r="D301" s="257"/>
      <c r="E301" s="257"/>
      <c r="F301" s="257"/>
      <c r="G301" s="257"/>
      <c r="H301" s="257"/>
      <c r="I301" s="257"/>
      <c r="J301" s="257"/>
      <c r="K301" s="257"/>
      <c r="L301" s="257"/>
      <c r="M301" s="257"/>
      <c r="N301" s="257"/>
      <c r="O301" s="257"/>
      <c r="P301" s="257"/>
      <c r="Q301" s="257"/>
      <c r="R301" s="257"/>
      <c r="S301" s="257"/>
      <c r="T301" s="257"/>
      <c r="U301" s="257"/>
      <c r="V301" s="257"/>
      <c r="W301" s="257"/>
      <c r="X301" s="257"/>
      <c r="Y301" s="257"/>
      <c r="Z301" s="257"/>
    </row>
    <row r="302" ht="14.25" customHeight="1">
      <c r="A302" s="257"/>
      <c r="B302" s="257"/>
      <c r="C302" s="257"/>
      <c r="D302" s="257"/>
      <c r="E302" s="257"/>
      <c r="F302" s="257"/>
      <c r="G302" s="257"/>
      <c r="H302" s="257"/>
      <c r="I302" s="257"/>
      <c r="J302" s="257"/>
      <c r="K302" s="257"/>
      <c r="L302" s="257"/>
      <c r="M302" s="257"/>
      <c r="N302" s="257"/>
      <c r="O302" s="257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</row>
    <row r="303" ht="14.25" customHeight="1">
      <c r="A303" s="257"/>
      <c r="B303" s="257"/>
      <c r="C303" s="257"/>
      <c r="D303" s="257"/>
      <c r="E303" s="257"/>
      <c r="F303" s="257"/>
      <c r="G303" s="257"/>
      <c r="H303" s="257"/>
      <c r="I303" s="257"/>
      <c r="J303" s="257"/>
      <c r="K303" s="257"/>
      <c r="L303" s="257"/>
      <c r="M303" s="257"/>
      <c r="N303" s="257"/>
      <c r="O303" s="257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</row>
    <row r="304" ht="14.25" customHeight="1">
      <c r="A304" s="257"/>
      <c r="B304" s="257"/>
      <c r="C304" s="257"/>
      <c r="D304" s="257"/>
      <c r="E304" s="257"/>
      <c r="F304" s="257"/>
      <c r="G304" s="257"/>
      <c r="H304" s="257"/>
      <c r="I304" s="257"/>
      <c r="J304" s="257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</row>
    <row r="305" ht="14.25" customHeight="1">
      <c r="A305" s="257"/>
      <c r="B305" s="257"/>
      <c r="C305" s="257"/>
      <c r="D305" s="257"/>
      <c r="E305" s="257"/>
      <c r="F305" s="257"/>
      <c r="G305" s="257"/>
      <c r="H305" s="257"/>
      <c r="I305" s="257"/>
      <c r="J305" s="257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</row>
    <row r="306" ht="14.25" customHeight="1">
      <c r="A306" s="257"/>
      <c r="B306" s="257"/>
      <c r="C306" s="257"/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</row>
    <row r="307" ht="14.25" customHeight="1">
      <c r="A307" s="257"/>
      <c r="B307" s="257"/>
      <c r="C307" s="257"/>
      <c r="D307" s="257"/>
      <c r="E307" s="257"/>
      <c r="F307" s="257"/>
      <c r="G307" s="257"/>
      <c r="H307" s="257"/>
      <c r="I307" s="257"/>
      <c r="J307" s="257"/>
      <c r="K307" s="257"/>
      <c r="L307" s="257"/>
      <c r="M307" s="257"/>
      <c r="N307" s="257"/>
      <c r="O307" s="257"/>
      <c r="P307" s="257"/>
      <c r="Q307" s="257"/>
      <c r="R307" s="257"/>
      <c r="S307" s="257"/>
      <c r="T307" s="257"/>
      <c r="U307" s="257"/>
      <c r="V307" s="257"/>
      <c r="W307" s="257"/>
      <c r="X307" s="257"/>
      <c r="Y307" s="257"/>
      <c r="Z307" s="257"/>
    </row>
    <row r="308" ht="14.25" customHeight="1">
      <c r="A308" s="257"/>
      <c r="B308" s="257"/>
      <c r="C308" s="257"/>
      <c r="D308" s="257"/>
      <c r="E308" s="257"/>
      <c r="F308" s="257"/>
      <c r="G308" s="257"/>
      <c r="H308" s="257"/>
      <c r="I308" s="257"/>
      <c r="J308" s="257"/>
      <c r="K308" s="257"/>
      <c r="L308" s="257"/>
      <c r="M308" s="257"/>
      <c r="N308" s="257"/>
      <c r="O308" s="257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</row>
    <row r="309" ht="14.25" customHeight="1">
      <c r="A309" s="257"/>
      <c r="B309" s="257"/>
      <c r="C309" s="257"/>
      <c r="D309" s="257"/>
      <c r="E309" s="257"/>
      <c r="F309" s="257"/>
      <c r="G309" s="257"/>
      <c r="H309" s="257"/>
      <c r="I309" s="257"/>
      <c r="J309" s="257"/>
      <c r="K309" s="257"/>
      <c r="L309" s="257"/>
      <c r="M309" s="257"/>
      <c r="N309" s="257"/>
      <c r="O309" s="257"/>
      <c r="P309" s="257"/>
      <c r="Q309" s="257"/>
      <c r="R309" s="257"/>
      <c r="S309" s="257"/>
      <c r="T309" s="257"/>
      <c r="U309" s="257"/>
      <c r="V309" s="257"/>
      <c r="W309" s="257"/>
      <c r="X309" s="257"/>
      <c r="Y309" s="257"/>
      <c r="Z309" s="257"/>
    </row>
    <row r="310" ht="14.25" customHeight="1">
      <c r="A310" s="257"/>
      <c r="B310" s="257"/>
      <c r="C310" s="257"/>
      <c r="D310" s="257"/>
      <c r="E310" s="257"/>
      <c r="F310" s="257"/>
      <c r="G310" s="257"/>
      <c r="H310" s="257"/>
      <c r="I310" s="257"/>
      <c r="J310" s="257"/>
      <c r="K310" s="257"/>
      <c r="L310" s="257"/>
      <c r="M310" s="257"/>
      <c r="N310" s="257"/>
      <c r="O310" s="257"/>
      <c r="P310" s="257"/>
      <c r="Q310" s="257"/>
      <c r="R310" s="257"/>
      <c r="S310" s="257"/>
      <c r="T310" s="257"/>
      <c r="U310" s="257"/>
      <c r="V310" s="257"/>
      <c r="W310" s="257"/>
      <c r="X310" s="257"/>
      <c r="Y310" s="257"/>
      <c r="Z310" s="257"/>
    </row>
    <row r="311" ht="14.25" customHeight="1">
      <c r="A311" s="257"/>
      <c r="B311" s="257"/>
      <c r="C311" s="257"/>
      <c r="D311" s="257"/>
      <c r="E311" s="257"/>
      <c r="F311" s="257"/>
      <c r="G311" s="257"/>
      <c r="H311" s="257"/>
      <c r="I311" s="257"/>
      <c r="J311" s="257"/>
      <c r="K311" s="257"/>
      <c r="L311" s="257"/>
      <c r="M311" s="257"/>
      <c r="N311" s="257"/>
      <c r="O311" s="257"/>
      <c r="P311" s="257"/>
      <c r="Q311" s="257"/>
      <c r="R311" s="257"/>
      <c r="S311" s="257"/>
      <c r="T311" s="257"/>
      <c r="U311" s="257"/>
      <c r="V311" s="257"/>
      <c r="W311" s="257"/>
      <c r="X311" s="257"/>
      <c r="Y311" s="257"/>
      <c r="Z311" s="257"/>
    </row>
    <row r="312" ht="14.25" customHeight="1">
      <c r="A312" s="257"/>
      <c r="B312" s="257"/>
      <c r="C312" s="257"/>
      <c r="D312" s="257"/>
      <c r="E312" s="257"/>
      <c r="F312" s="257"/>
      <c r="G312" s="257"/>
      <c r="H312" s="257"/>
      <c r="I312" s="257"/>
      <c r="J312" s="257"/>
      <c r="K312" s="257"/>
      <c r="L312" s="257"/>
      <c r="M312" s="257"/>
      <c r="N312" s="257"/>
      <c r="O312" s="257"/>
      <c r="P312" s="257"/>
      <c r="Q312" s="257"/>
      <c r="R312" s="257"/>
      <c r="S312" s="257"/>
      <c r="T312" s="257"/>
      <c r="U312" s="257"/>
      <c r="V312" s="257"/>
      <c r="W312" s="257"/>
      <c r="X312" s="257"/>
      <c r="Y312" s="257"/>
      <c r="Z312" s="257"/>
    </row>
    <row r="313" ht="14.25" customHeight="1">
      <c r="A313" s="257"/>
      <c r="B313" s="257"/>
      <c r="C313" s="257"/>
      <c r="D313" s="257"/>
      <c r="E313" s="257"/>
      <c r="F313" s="257"/>
      <c r="G313" s="257"/>
      <c r="H313" s="257"/>
      <c r="I313" s="257"/>
      <c r="J313" s="257"/>
      <c r="K313" s="257"/>
      <c r="L313" s="257"/>
      <c r="M313" s="257"/>
      <c r="N313" s="257"/>
      <c r="O313" s="257"/>
      <c r="P313" s="257"/>
      <c r="Q313" s="257"/>
      <c r="R313" s="257"/>
      <c r="S313" s="257"/>
      <c r="T313" s="257"/>
      <c r="U313" s="257"/>
      <c r="V313" s="257"/>
      <c r="W313" s="257"/>
      <c r="X313" s="257"/>
      <c r="Y313" s="257"/>
      <c r="Z313" s="257"/>
    </row>
    <row r="314" ht="14.25" customHeight="1">
      <c r="A314" s="257"/>
      <c r="B314" s="257"/>
      <c r="C314" s="257"/>
      <c r="D314" s="257"/>
      <c r="E314" s="257"/>
      <c r="F314" s="257"/>
      <c r="G314" s="257"/>
      <c r="H314" s="257"/>
      <c r="I314" s="257"/>
      <c r="J314" s="257"/>
      <c r="K314" s="257"/>
      <c r="L314" s="257"/>
      <c r="M314" s="257"/>
      <c r="N314" s="257"/>
      <c r="O314" s="257"/>
      <c r="P314" s="257"/>
      <c r="Q314" s="257"/>
      <c r="R314" s="257"/>
      <c r="S314" s="257"/>
      <c r="T314" s="257"/>
      <c r="U314" s="257"/>
      <c r="V314" s="257"/>
      <c r="W314" s="257"/>
      <c r="X314" s="257"/>
      <c r="Y314" s="257"/>
      <c r="Z314" s="257"/>
    </row>
    <row r="315" ht="14.25" customHeight="1">
      <c r="A315" s="257"/>
      <c r="B315" s="257"/>
      <c r="C315" s="257"/>
      <c r="D315" s="257"/>
      <c r="E315" s="257"/>
      <c r="F315" s="257"/>
      <c r="G315" s="257"/>
      <c r="H315" s="257"/>
      <c r="I315" s="257"/>
      <c r="J315" s="257"/>
      <c r="K315" s="257"/>
      <c r="L315" s="257"/>
      <c r="M315" s="257"/>
      <c r="N315" s="257"/>
      <c r="O315" s="257"/>
      <c r="P315" s="257"/>
      <c r="Q315" s="257"/>
      <c r="R315" s="257"/>
      <c r="S315" s="257"/>
      <c r="T315" s="257"/>
      <c r="U315" s="257"/>
      <c r="V315" s="257"/>
      <c r="W315" s="257"/>
      <c r="X315" s="257"/>
      <c r="Y315" s="257"/>
      <c r="Z315" s="257"/>
    </row>
    <row r="316" ht="14.25" customHeight="1">
      <c r="A316" s="257"/>
      <c r="B316" s="257"/>
      <c r="C316" s="257"/>
      <c r="D316" s="257"/>
      <c r="E316" s="257"/>
      <c r="F316" s="257"/>
      <c r="G316" s="257"/>
      <c r="H316" s="257"/>
      <c r="I316" s="257"/>
      <c r="J316" s="257"/>
      <c r="K316" s="257"/>
      <c r="L316" s="257"/>
      <c r="M316" s="257"/>
      <c r="N316" s="257"/>
      <c r="O316" s="257"/>
      <c r="P316" s="257"/>
      <c r="Q316" s="257"/>
      <c r="R316" s="257"/>
      <c r="S316" s="257"/>
      <c r="T316" s="257"/>
      <c r="U316" s="257"/>
      <c r="V316" s="257"/>
      <c r="W316" s="257"/>
      <c r="X316" s="257"/>
      <c r="Y316" s="257"/>
      <c r="Z316" s="257"/>
    </row>
    <row r="317" ht="14.25" customHeight="1">
      <c r="A317" s="257"/>
      <c r="B317" s="257"/>
      <c r="C317" s="257"/>
      <c r="D317" s="257"/>
      <c r="E317" s="257"/>
      <c r="F317" s="257"/>
      <c r="G317" s="257"/>
      <c r="H317" s="257"/>
      <c r="I317" s="257"/>
      <c r="J317" s="257"/>
      <c r="K317" s="257"/>
      <c r="L317" s="257"/>
      <c r="M317" s="257"/>
      <c r="N317" s="257"/>
      <c r="O317" s="257"/>
      <c r="P317" s="257"/>
      <c r="Q317" s="257"/>
      <c r="R317" s="257"/>
      <c r="S317" s="257"/>
      <c r="T317" s="257"/>
      <c r="U317" s="257"/>
      <c r="V317" s="257"/>
      <c r="W317" s="257"/>
      <c r="X317" s="257"/>
      <c r="Y317" s="257"/>
      <c r="Z317" s="257"/>
    </row>
    <row r="318" ht="14.25" customHeight="1">
      <c r="A318" s="257"/>
      <c r="B318" s="257"/>
      <c r="C318" s="257"/>
      <c r="D318" s="257"/>
      <c r="E318" s="257"/>
      <c r="F318" s="257"/>
      <c r="G318" s="257"/>
      <c r="H318" s="257"/>
      <c r="I318" s="257"/>
      <c r="J318" s="257"/>
      <c r="K318" s="257"/>
      <c r="L318" s="257"/>
      <c r="M318" s="257"/>
      <c r="N318" s="257"/>
      <c r="O318" s="257"/>
      <c r="P318" s="257"/>
      <c r="Q318" s="257"/>
      <c r="R318" s="257"/>
      <c r="S318" s="257"/>
      <c r="T318" s="257"/>
      <c r="U318" s="257"/>
      <c r="V318" s="257"/>
      <c r="W318" s="257"/>
      <c r="X318" s="257"/>
      <c r="Y318" s="257"/>
      <c r="Z318" s="257"/>
    </row>
    <row r="319" ht="14.25" customHeight="1">
      <c r="A319" s="257"/>
      <c r="B319" s="257"/>
      <c r="C319" s="257"/>
      <c r="D319" s="257"/>
      <c r="E319" s="257"/>
      <c r="F319" s="257"/>
      <c r="G319" s="257"/>
      <c r="H319" s="257"/>
      <c r="I319" s="257"/>
      <c r="J319" s="257"/>
      <c r="K319" s="257"/>
      <c r="L319" s="257"/>
      <c r="M319" s="257"/>
      <c r="N319" s="257"/>
      <c r="O319" s="257"/>
      <c r="P319" s="257"/>
      <c r="Q319" s="257"/>
      <c r="R319" s="257"/>
      <c r="S319" s="257"/>
      <c r="T319" s="257"/>
      <c r="U319" s="257"/>
      <c r="V319" s="257"/>
      <c r="W319" s="257"/>
      <c r="X319" s="257"/>
      <c r="Y319" s="257"/>
      <c r="Z319" s="257"/>
    </row>
    <row r="320" ht="14.25" customHeight="1">
      <c r="A320" s="257"/>
      <c r="B320" s="257"/>
      <c r="C320" s="257"/>
      <c r="D320" s="257"/>
      <c r="E320" s="257"/>
      <c r="F320" s="257"/>
      <c r="G320" s="257"/>
      <c r="H320" s="257"/>
      <c r="I320" s="257"/>
      <c r="J320" s="257"/>
      <c r="K320" s="257"/>
      <c r="L320" s="257"/>
      <c r="M320" s="257"/>
      <c r="N320" s="257"/>
      <c r="O320" s="257"/>
      <c r="P320" s="257"/>
      <c r="Q320" s="257"/>
      <c r="R320" s="257"/>
      <c r="S320" s="257"/>
      <c r="T320" s="257"/>
      <c r="U320" s="257"/>
      <c r="V320" s="257"/>
      <c r="W320" s="257"/>
      <c r="X320" s="257"/>
      <c r="Y320" s="257"/>
      <c r="Z320" s="257"/>
    </row>
    <row r="321" ht="14.25" customHeight="1">
      <c r="A321" s="257"/>
      <c r="B321" s="257"/>
      <c r="C321" s="257"/>
      <c r="D321" s="257"/>
      <c r="E321" s="257"/>
      <c r="F321" s="257"/>
      <c r="G321" s="257"/>
      <c r="H321" s="257"/>
      <c r="I321" s="257"/>
      <c r="J321" s="257"/>
      <c r="K321" s="257"/>
      <c r="L321" s="257"/>
      <c r="M321" s="257"/>
      <c r="N321" s="257"/>
      <c r="O321" s="257"/>
      <c r="P321" s="257"/>
      <c r="Q321" s="257"/>
      <c r="R321" s="257"/>
      <c r="S321" s="257"/>
      <c r="T321" s="257"/>
      <c r="U321" s="257"/>
      <c r="V321" s="257"/>
      <c r="W321" s="257"/>
      <c r="X321" s="257"/>
      <c r="Y321" s="257"/>
      <c r="Z321" s="257"/>
    </row>
    <row r="322" ht="14.25" customHeight="1">
      <c r="A322" s="257"/>
      <c r="B322" s="257"/>
      <c r="C322" s="257"/>
      <c r="D322" s="257"/>
      <c r="E322" s="257"/>
      <c r="F322" s="257"/>
      <c r="G322" s="257"/>
      <c r="H322" s="257"/>
      <c r="I322" s="257"/>
      <c r="J322" s="257"/>
      <c r="K322" s="257"/>
      <c r="L322" s="257"/>
      <c r="M322" s="257"/>
      <c r="N322" s="257"/>
      <c r="O322" s="257"/>
      <c r="P322" s="257"/>
      <c r="Q322" s="257"/>
      <c r="R322" s="257"/>
      <c r="S322" s="257"/>
      <c r="T322" s="257"/>
      <c r="U322" s="257"/>
      <c r="V322" s="257"/>
      <c r="W322" s="257"/>
      <c r="X322" s="257"/>
      <c r="Y322" s="257"/>
      <c r="Z322" s="257"/>
    </row>
    <row r="323" ht="14.25" customHeight="1">
      <c r="A323" s="257"/>
      <c r="B323" s="257"/>
      <c r="C323" s="257"/>
      <c r="D323" s="257"/>
      <c r="E323" s="257"/>
      <c r="F323" s="257"/>
      <c r="G323" s="257"/>
      <c r="H323" s="257"/>
      <c r="I323" s="257"/>
      <c r="J323" s="257"/>
      <c r="K323" s="257"/>
      <c r="L323" s="257"/>
      <c r="M323" s="257"/>
      <c r="N323" s="257"/>
      <c r="O323" s="257"/>
      <c r="P323" s="257"/>
      <c r="Q323" s="257"/>
      <c r="R323" s="257"/>
      <c r="S323" s="257"/>
      <c r="T323" s="257"/>
      <c r="U323" s="257"/>
      <c r="V323" s="257"/>
      <c r="W323" s="257"/>
      <c r="X323" s="257"/>
      <c r="Y323" s="257"/>
      <c r="Z323" s="257"/>
    </row>
    <row r="324" ht="14.25" customHeight="1">
      <c r="A324" s="257"/>
      <c r="B324" s="257"/>
      <c r="C324" s="257"/>
      <c r="D324" s="257"/>
      <c r="E324" s="257"/>
      <c r="F324" s="257"/>
      <c r="G324" s="257"/>
      <c r="H324" s="257"/>
      <c r="I324" s="257"/>
      <c r="J324" s="257"/>
      <c r="K324" s="257"/>
      <c r="L324" s="257"/>
      <c r="M324" s="257"/>
      <c r="N324" s="257"/>
      <c r="O324" s="257"/>
      <c r="P324" s="257"/>
      <c r="Q324" s="257"/>
      <c r="R324" s="257"/>
      <c r="S324" s="257"/>
      <c r="T324" s="257"/>
      <c r="U324" s="257"/>
      <c r="V324" s="257"/>
      <c r="W324" s="257"/>
      <c r="X324" s="257"/>
      <c r="Y324" s="257"/>
      <c r="Z324" s="257"/>
    </row>
    <row r="325" ht="14.25" customHeight="1">
      <c r="A325" s="257"/>
      <c r="B325" s="257"/>
      <c r="C325" s="257"/>
      <c r="D325" s="257"/>
      <c r="E325" s="257"/>
      <c r="F325" s="257"/>
      <c r="G325" s="257"/>
      <c r="H325" s="257"/>
      <c r="I325" s="257"/>
      <c r="J325" s="257"/>
      <c r="K325" s="257"/>
      <c r="L325" s="257"/>
      <c r="M325" s="257"/>
      <c r="N325" s="257"/>
      <c r="O325" s="257"/>
      <c r="P325" s="257"/>
      <c r="Q325" s="257"/>
      <c r="R325" s="257"/>
      <c r="S325" s="257"/>
      <c r="T325" s="257"/>
      <c r="U325" s="257"/>
      <c r="V325" s="257"/>
      <c r="W325" s="257"/>
      <c r="X325" s="257"/>
      <c r="Y325" s="257"/>
      <c r="Z325" s="257"/>
    </row>
    <row r="326" ht="14.25" customHeight="1">
      <c r="A326" s="257"/>
      <c r="B326" s="257"/>
      <c r="C326" s="257"/>
      <c r="D326" s="257"/>
      <c r="E326" s="257"/>
      <c r="F326" s="257"/>
      <c r="G326" s="257"/>
      <c r="H326" s="257"/>
      <c r="I326" s="257"/>
      <c r="J326" s="257"/>
      <c r="K326" s="257"/>
      <c r="L326" s="257"/>
      <c r="M326" s="257"/>
      <c r="N326" s="257"/>
      <c r="O326" s="257"/>
      <c r="P326" s="257"/>
      <c r="Q326" s="257"/>
      <c r="R326" s="257"/>
      <c r="S326" s="257"/>
      <c r="T326" s="257"/>
      <c r="U326" s="257"/>
      <c r="V326" s="257"/>
      <c r="W326" s="257"/>
      <c r="X326" s="257"/>
      <c r="Y326" s="257"/>
      <c r="Z326" s="257"/>
    </row>
    <row r="327" ht="14.25" customHeight="1">
      <c r="A327" s="257"/>
      <c r="B327" s="257"/>
      <c r="C327" s="257"/>
      <c r="D327" s="257"/>
      <c r="E327" s="257"/>
      <c r="F327" s="257"/>
      <c r="G327" s="257"/>
      <c r="H327" s="257"/>
      <c r="I327" s="257"/>
      <c r="J327" s="257"/>
      <c r="K327" s="257"/>
      <c r="L327" s="257"/>
      <c r="M327" s="257"/>
      <c r="N327" s="257"/>
      <c r="O327" s="257"/>
      <c r="P327" s="257"/>
      <c r="Q327" s="257"/>
      <c r="R327" s="257"/>
      <c r="S327" s="257"/>
      <c r="T327" s="257"/>
      <c r="U327" s="257"/>
      <c r="V327" s="257"/>
      <c r="W327" s="257"/>
      <c r="X327" s="257"/>
      <c r="Y327" s="257"/>
      <c r="Z327" s="257"/>
    </row>
    <row r="328" ht="14.25" customHeight="1">
      <c r="A328" s="257"/>
      <c r="B328" s="257"/>
      <c r="C328" s="257"/>
      <c r="D328" s="257"/>
      <c r="E328" s="257"/>
      <c r="F328" s="257"/>
      <c r="G328" s="257"/>
      <c r="H328" s="257"/>
      <c r="I328" s="257"/>
      <c r="J328" s="257"/>
      <c r="K328" s="257"/>
      <c r="L328" s="257"/>
      <c r="M328" s="257"/>
      <c r="N328" s="257"/>
      <c r="O328" s="257"/>
      <c r="P328" s="257"/>
      <c r="Q328" s="257"/>
      <c r="R328" s="257"/>
      <c r="S328" s="257"/>
      <c r="T328" s="257"/>
      <c r="U328" s="257"/>
      <c r="V328" s="257"/>
      <c r="W328" s="257"/>
      <c r="X328" s="257"/>
      <c r="Y328" s="257"/>
      <c r="Z328" s="257"/>
    </row>
    <row r="329" ht="14.25" customHeight="1">
      <c r="A329" s="257"/>
      <c r="B329" s="257"/>
      <c r="C329" s="257"/>
      <c r="D329" s="257"/>
      <c r="E329" s="257"/>
      <c r="F329" s="257"/>
      <c r="G329" s="257"/>
      <c r="H329" s="257"/>
      <c r="I329" s="257"/>
      <c r="J329" s="257"/>
      <c r="K329" s="257"/>
      <c r="L329" s="257"/>
      <c r="M329" s="257"/>
      <c r="N329" s="257"/>
      <c r="O329" s="257"/>
      <c r="P329" s="257"/>
      <c r="Q329" s="257"/>
      <c r="R329" s="257"/>
      <c r="S329" s="257"/>
      <c r="T329" s="257"/>
      <c r="U329" s="257"/>
      <c r="V329" s="257"/>
      <c r="W329" s="257"/>
      <c r="X329" s="257"/>
      <c r="Y329" s="257"/>
      <c r="Z329" s="257"/>
    </row>
    <row r="330" ht="14.25" customHeight="1">
      <c r="A330" s="257"/>
      <c r="B330" s="257"/>
      <c r="C330" s="257"/>
      <c r="D330" s="257"/>
      <c r="E330" s="257"/>
      <c r="F330" s="257"/>
      <c r="G330" s="257"/>
      <c r="H330" s="257"/>
      <c r="I330" s="257"/>
      <c r="J330" s="257"/>
      <c r="K330" s="257"/>
      <c r="L330" s="257"/>
      <c r="M330" s="257"/>
      <c r="N330" s="257"/>
      <c r="O330" s="257"/>
      <c r="P330" s="257"/>
      <c r="Q330" s="257"/>
      <c r="R330" s="257"/>
      <c r="S330" s="257"/>
      <c r="T330" s="257"/>
      <c r="U330" s="257"/>
      <c r="V330" s="257"/>
      <c r="W330" s="257"/>
      <c r="X330" s="257"/>
      <c r="Y330" s="257"/>
      <c r="Z330" s="257"/>
    </row>
    <row r="331" ht="14.25" customHeight="1">
      <c r="A331" s="257"/>
      <c r="B331" s="257"/>
      <c r="C331" s="257"/>
      <c r="D331" s="257"/>
      <c r="E331" s="257"/>
      <c r="F331" s="257"/>
      <c r="G331" s="257"/>
      <c r="H331" s="257"/>
      <c r="I331" s="257"/>
      <c r="J331" s="257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7"/>
      <c r="X331" s="257"/>
      <c r="Y331" s="257"/>
      <c r="Z331" s="257"/>
    </row>
    <row r="332" ht="14.25" customHeight="1">
      <c r="A332" s="257"/>
      <c r="B332" s="257"/>
      <c r="C332" s="257"/>
      <c r="D332" s="257"/>
      <c r="E332" s="257"/>
      <c r="F332" s="257"/>
      <c r="G332" s="257"/>
      <c r="H332" s="257"/>
      <c r="I332" s="257"/>
      <c r="J332" s="257"/>
      <c r="K332" s="257"/>
      <c r="L332" s="257"/>
      <c r="M332" s="257"/>
      <c r="N332" s="257"/>
      <c r="O332" s="257"/>
      <c r="P332" s="257"/>
      <c r="Q332" s="257"/>
      <c r="R332" s="257"/>
      <c r="S332" s="257"/>
      <c r="T332" s="257"/>
      <c r="U332" s="257"/>
      <c r="V332" s="257"/>
      <c r="W332" s="257"/>
      <c r="X332" s="257"/>
      <c r="Y332" s="257"/>
      <c r="Z332" s="257"/>
    </row>
    <row r="333" ht="14.25" customHeight="1">
      <c r="A333" s="257"/>
      <c r="B333" s="257"/>
      <c r="C333" s="257"/>
      <c r="D333" s="257"/>
      <c r="E333" s="257"/>
      <c r="F333" s="257"/>
      <c r="G333" s="257"/>
      <c r="H333" s="257"/>
      <c r="I333" s="257"/>
      <c r="J333" s="257"/>
      <c r="K333" s="257"/>
      <c r="L333" s="257"/>
      <c r="M333" s="257"/>
      <c r="N333" s="257"/>
      <c r="O333" s="257"/>
      <c r="P333" s="257"/>
      <c r="Q333" s="257"/>
      <c r="R333" s="257"/>
      <c r="S333" s="257"/>
      <c r="T333" s="257"/>
      <c r="U333" s="257"/>
      <c r="V333" s="257"/>
      <c r="W333" s="257"/>
      <c r="X333" s="257"/>
      <c r="Y333" s="257"/>
      <c r="Z333" s="257"/>
    </row>
    <row r="334" ht="14.25" customHeight="1">
      <c r="A334" s="257"/>
      <c r="B334" s="257"/>
      <c r="C334" s="257"/>
      <c r="D334" s="257"/>
      <c r="E334" s="257"/>
      <c r="F334" s="257"/>
      <c r="G334" s="257"/>
      <c r="H334" s="257"/>
      <c r="I334" s="257"/>
      <c r="J334" s="257"/>
      <c r="K334" s="257"/>
      <c r="L334" s="257"/>
      <c r="M334" s="257"/>
      <c r="N334" s="257"/>
      <c r="O334" s="257"/>
      <c r="P334" s="257"/>
      <c r="Q334" s="257"/>
      <c r="R334" s="257"/>
      <c r="S334" s="257"/>
      <c r="T334" s="257"/>
      <c r="U334" s="257"/>
      <c r="V334" s="257"/>
      <c r="W334" s="257"/>
      <c r="X334" s="257"/>
      <c r="Y334" s="257"/>
      <c r="Z334" s="257"/>
    </row>
    <row r="335" ht="14.25" customHeight="1">
      <c r="A335" s="257"/>
      <c r="B335" s="257"/>
      <c r="C335" s="257"/>
      <c r="D335" s="257"/>
      <c r="E335" s="257"/>
      <c r="F335" s="257"/>
      <c r="G335" s="257"/>
      <c r="H335" s="257"/>
      <c r="I335" s="257"/>
      <c r="J335" s="257"/>
      <c r="K335" s="257"/>
      <c r="L335" s="257"/>
      <c r="M335" s="257"/>
      <c r="N335" s="257"/>
      <c r="O335" s="257"/>
      <c r="P335" s="257"/>
      <c r="Q335" s="257"/>
      <c r="R335" s="257"/>
      <c r="S335" s="257"/>
      <c r="T335" s="257"/>
      <c r="U335" s="257"/>
      <c r="V335" s="257"/>
      <c r="W335" s="257"/>
      <c r="X335" s="257"/>
      <c r="Y335" s="257"/>
      <c r="Z335" s="257"/>
    </row>
    <row r="336" ht="14.25" customHeight="1">
      <c r="A336" s="257"/>
      <c r="B336" s="257"/>
      <c r="C336" s="257"/>
      <c r="D336" s="257"/>
      <c r="E336" s="257"/>
      <c r="F336" s="257"/>
      <c r="G336" s="257"/>
      <c r="H336" s="257"/>
      <c r="I336" s="257"/>
      <c r="J336" s="257"/>
      <c r="K336" s="257"/>
      <c r="L336" s="257"/>
      <c r="M336" s="257"/>
      <c r="N336" s="257"/>
      <c r="O336" s="257"/>
      <c r="P336" s="257"/>
      <c r="Q336" s="257"/>
      <c r="R336" s="257"/>
      <c r="S336" s="257"/>
      <c r="T336" s="257"/>
      <c r="U336" s="257"/>
      <c r="V336" s="257"/>
      <c r="W336" s="257"/>
      <c r="X336" s="257"/>
      <c r="Y336" s="257"/>
      <c r="Z336" s="257"/>
    </row>
    <row r="337" ht="14.25" customHeight="1">
      <c r="A337" s="257"/>
      <c r="B337" s="257"/>
      <c r="C337" s="257"/>
      <c r="D337" s="257"/>
      <c r="E337" s="257"/>
      <c r="F337" s="257"/>
      <c r="G337" s="257"/>
      <c r="H337" s="257"/>
      <c r="I337" s="257"/>
      <c r="J337" s="257"/>
      <c r="K337" s="257"/>
      <c r="L337" s="257"/>
      <c r="M337" s="257"/>
      <c r="N337" s="257"/>
      <c r="O337" s="257"/>
      <c r="P337" s="257"/>
      <c r="Q337" s="257"/>
      <c r="R337" s="257"/>
      <c r="S337" s="257"/>
      <c r="T337" s="257"/>
      <c r="U337" s="257"/>
      <c r="V337" s="257"/>
      <c r="W337" s="257"/>
      <c r="X337" s="257"/>
      <c r="Y337" s="257"/>
      <c r="Z337" s="257"/>
    </row>
    <row r="338" ht="14.25" customHeight="1">
      <c r="A338" s="257"/>
      <c r="B338" s="257"/>
      <c r="C338" s="257"/>
      <c r="D338" s="257"/>
      <c r="E338" s="257"/>
      <c r="F338" s="257"/>
      <c r="G338" s="257"/>
      <c r="H338" s="257"/>
      <c r="I338" s="257"/>
      <c r="J338" s="257"/>
      <c r="K338" s="257"/>
      <c r="L338" s="257"/>
      <c r="M338" s="257"/>
      <c r="N338" s="257"/>
      <c r="O338" s="257"/>
      <c r="P338" s="257"/>
      <c r="Q338" s="257"/>
      <c r="R338" s="257"/>
      <c r="S338" s="257"/>
      <c r="T338" s="257"/>
      <c r="U338" s="257"/>
      <c r="V338" s="257"/>
      <c r="W338" s="257"/>
      <c r="X338" s="257"/>
      <c r="Y338" s="257"/>
      <c r="Z338" s="257"/>
    </row>
    <row r="339" ht="14.25" customHeight="1">
      <c r="A339" s="257"/>
      <c r="B339" s="257"/>
      <c r="C339" s="257"/>
      <c r="D339" s="257"/>
      <c r="E339" s="257"/>
      <c r="F339" s="257"/>
      <c r="G339" s="257"/>
      <c r="H339" s="257"/>
      <c r="I339" s="257"/>
      <c r="J339" s="257"/>
      <c r="K339" s="257"/>
      <c r="L339" s="257"/>
      <c r="M339" s="257"/>
      <c r="N339" s="257"/>
      <c r="O339" s="257"/>
      <c r="P339" s="257"/>
      <c r="Q339" s="257"/>
      <c r="R339" s="257"/>
      <c r="S339" s="257"/>
      <c r="T339" s="257"/>
      <c r="U339" s="257"/>
      <c r="V339" s="257"/>
      <c r="W339" s="257"/>
      <c r="X339" s="257"/>
      <c r="Y339" s="257"/>
      <c r="Z339" s="257"/>
    </row>
    <row r="340" ht="14.25" customHeight="1">
      <c r="A340" s="257"/>
      <c r="B340" s="257"/>
      <c r="C340" s="257"/>
      <c r="D340" s="257"/>
      <c r="E340" s="257"/>
      <c r="F340" s="257"/>
      <c r="G340" s="257"/>
      <c r="H340" s="257"/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</row>
    <row r="341" ht="14.25" customHeight="1">
      <c r="A341" s="257"/>
      <c r="B341" s="257"/>
      <c r="C341" s="257"/>
      <c r="D341" s="257"/>
      <c r="E341" s="257"/>
      <c r="F341" s="257"/>
      <c r="G341" s="257"/>
      <c r="H341" s="257"/>
      <c r="I341" s="257"/>
      <c r="J341" s="257"/>
      <c r="K341" s="257"/>
      <c r="L341" s="257"/>
      <c r="M341" s="257"/>
      <c r="N341" s="257"/>
      <c r="O341" s="257"/>
      <c r="P341" s="257"/>
      <c r="Q341" s="257"/>
      <c r="R341" s="257"/>
      <c r="S341" s="257"/>
      <c r="T341" s="257"/>
      <c r="U341" s="257"/>
      <c r="V341" s="257"/>
      <c r="W341" s="257"/>
      <c r="X341" s="257"/>
      <c r="Y341" s="257"/>
      <c r="Z341" s="257"/>
    </row>
    <row r="342" ht="14.25" customHeight="1">
      <c r="A342" s="257"/>
      <c r="B342" s="257"/>
      <c r="C342" s="257"/>
      <c r="D342" s="257"/>
      <c r="E342" s="257"/>
      <c r="F342" s="257"/>
      <c r="G342" s="257"/>
      <c r="H342" s="257"/>
      <c r="I342" s="257"/>
      <c r="J342" s="257"/>
      <c r="K342" s="257"/>
      <c r="L342" s="257"/>
      <c r="M342" s="257"/>
      <c r="N342" s="257"/>
      <c r="O342" s="257"/>
      <c r="P342" s="257"/>
      <c r="Q342" s="257"/>
      <c r="R342" s="257"/>
      <c r="S342" s="257"/>
      <c r="T342" s="257"/>
      <c r="U342" s="257"/>
      <c r="V342" s="257"/>
      <c r="W342" s="257"/>
      <c r="X342" s="257"/>
      <c r="Y342" s="257"/>
      <c r="Z342" s="257"/>
    </row>
    <row r="343" ht="14.25" customHeight="1">
      <c r="A343" s="257"/>
      <c r="B343" s="257"/>
      <c r="C343" s="257"/>
      <c r="D343" s="257"/>
      <c r="E343" s="257"/>
      <c r="F343" s="257"/>
      <c r="G343" s="257"/>
      <c r="H343" s="257"/>
      <c r="I343" s="257"/>
      <c r="J343" s="257"/>
      <c r="K343" s="257"/>
      <c r="L343" s="257"/>
      <c r="M343" s="257"/>
      <c r="N343" s="257"/>
      <c r="O343" s="257"/>
      <c r="P343" s="257"/>
      <c r="Q343" s="257"/>
      <c r="R343" s="257"/>
      <c r="S343" s="257"/>
      <c r="T343" s="257"/>
      <c r="U343" s="257"/>
      <c r="V343" s="257"/>
      <c r="W343" s="257"/>
      <c r="X343" s="257"/>
      <c r="Y343" s="257"/>
      <c r="Z343" s="257"/>
    </row>
    <row r="344" ht="14.25" customHeight="1">
      <c r="A344" s="257"/>
      <c r="B344" s="257"/>
      <c r="C344" s="257"/>
      <c r="D344" s="257"/>
      <c r="E344" s="257"/>
      <c r="F344" s="257"/>
      <c r="G344" s="257"/>
      <c r="H344" s="257"/>
      <c r="I344" s="257"/>
      <c r="J344" s="257"/>
      <c r="K344" s="257"/>
      <c r="L344" s="257"/>
      <c r="M344" s="257"/>
      <c r="N344" s="257"/>
      <c r="O344" s="257"/>
      <c r="P344" s="257"/>
      <c r="Q344" s="257"/>
      <c r="R344" s="257"/>
      <c r="S344" s="257"/>
      <c r="T344" s="257"/>
      <c r="U344" s="257"/>
      <c r="V344" s="257"/>
      <c r="W344" s="257"/>
      <c r="X344" s="257"/>
      <c r="Y344" s="257"/>
      <c r="Z344" s="257"/>
    </row>
    <row r="345" ht="14.25" customHeight="1">
      <c r="A345" s="257"/>
      <c r="B345" s="257"/>
      <c r="C345" s="257"/>
      <c r="D345" s="257"/>
      <c r="E345" s="257"/>
      <c r="F345" s="257"/>
      <c r="G345" s="257"/>
      <c r="H345" s="257"/>
      <c r="I345" s="257"/>
      <c r="J345" s="257"/>
      <c r="K345" s="257"/>
      <c r="L345" s="257"/>
      <c r="M345" s="257"/>
      <c r="N345" s="257"/>
      <c r="O345" s="257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7"/>
    </row>
    <row r="346" ht="14.25" customHeight="1">
      <c r="A346" s="257"/>
      <c r="B346" s="257"/>
      <c r="C346" s="257"/>
      <c r="D346" s="257"/>
      <c r="E346" s="257"/>
      <c r="F346" s="257"/>
      <c r="G346" s="257"/>
      <c r="H346" s="257"/>
      <c r="I346" s="257"/>
      <c r="J346" s="257"/>
      <c r="K346" s="257"/>
      <c r="L346" s="257"/>
      <c r="M346" s="257"/>
      <c r="N346" s="257"/>
      <c r="O346" s="257"/>
      <c r="P346" s="257"/>
      <c r="Q346" s="257"/>
      <c r="R346" s="257"/>
      <c r="S346" s="257"/>
      <c r="T346" s="257"/>
      <c r="U346" s="257"/>
      <c r="V346" s="257"/>
      <c r="W346" s="257"/>
      <c r="X346" s="257"/>
      <c r="Y346" s="257"/>
      <c r="Z346" s="257"/>
    </row>
    <row r="347" ht="14.25" customHeight="1">
      <c r="A347" s="257"/>
      <c r="B347" s="257"/>
      <c r="C347" s="257"/>
      <c r="D347" s="257"/>
      <c r="E347" s="257"/>
      <c r="F347" s="257"/>
      <c r="G347" s="257"/>
      <c r="H347" s="257"/>
      <c r="I347" s="257"/>
      <c r="J347" s="257"/>
      <c r="K347" s="257"/>
      <c r="L347" s="257"/>
      <c r="M347" s="257"/>
      <c r="N347" s="257"/>
      <c r="O347" s="257"/>
      <c r="P347" s="257"/>
      <c r="Q347" s="257"/>
      <c r="R347" s="257"/>
      <c r="S347" s="257"/>
      <c r="T347" s="257"/>
      <c r="U347" s="257"/>
      <c r="V347" s="257"/>
      <c r="W347" s="257"/>
      <c r="X347" s="257"/>
      <c r="Y347" s="257"/>
      <c r="Z347" s="257"/>
    </row>
    <row r="348" ht="14.25" customHeight="1">
      <c r="A348" s="257"/>
      <c r="B348" s="257"/>
      <c r="C348" s="257"/>
      <c r="D348" s="257"/>
      <c r="E348" s="257"/>
      <c r="F348" s="257"/>
      <c r="G348" s="257"/>
      <c r="H348" s="257"/>
      <c r="I348" s="257"/>
      <c r="J348" s="257"/>
      <c r="K348" s="257"/>
      <c r="L348" s="257"/>
      <c r="M348" s="257"/>
      <c r="N348" s="257"/>
      <c r="O348" s="257"/>
      <c r="P348" s="257"/>
      <c r="Q348" s="257"/>
      <c r="R348" s="257"/>
      <c r="S348" s="257"/>
      <c r="T348" s="257"/>
      <c r="U348" s="257"/>
      <c r="V348" s="257"/>
      <c r="W348" s="257"/>
      <c r="X348" s="257"/>
      <c r="Y348" s="257"/>
      <c r="Z348" s="257"/>
    </row>
    <row r="349" ht="14.25" customHeight="1">
      <c r="A349" s="257"/>
      <c r="B349" s="257"/>
      <c r="C349" s="257"/>
      <c r="D349" s="257"/>
      <c r="E349" s="257"/>
      <c r="F349" s="257"/>
      <c r="G349" s="257"/>
      <c r="H349" s="257"/>
      <c r="I349" s="257"/>
      <c r="J349" s="257"/>
      <c r="K349" s="257"/>
      <c r="L349" s="257"/>
      <c r="M349" s="257"/>
      <c r="N349" s="257"/>
      <c r="O349" s="257"/>
      <c r="P349" s="257"/>
      <c r="Q349" s="257"/>
      <c r="R349" s="257"/>
      <c r="S349" s="257"/>
      <c r="T349" s="257"/>
      <c r="U349" s="257"/>
      <c r="V349" s="257"/>
      <c r="W349" s="257"/>
      <c r="X349" s="257"/>
      <c r="Y349" s="257"/>
      <c r="Z349" s="257"/>
    </row>
    <row r="350" ht="14.25" customHeight="1">
      <c r="A350" s="257"/>
      <c r="B350" s="257"/>
      <c r="C350" s="257"/>
      <c r="D350" s="257"/>
      <c r="E350" s="257"/>
      <c r="F350" s="257"/>
      <c r="G350" s="257"/>
      <c r="H350" s="257"/>
      <c r="I350" s="257"/>
      <c r="J350" s="257"/>
      <c r="K350" s="257"/>
      <c r="L350" s="257"/>
      <c r="M350" s="257"/>
      <c r="N350" s="257"/>
      <c r="O350" s="257"/>
      <c r="P350" s="257"/>
      <c r="Q350" s="257"/>
      <c r="R350" s="257"/>
      <c r="S350" s="257"/>
      <c r="T350" s="257"/>
      <c r="U350" s="257"/>
      <c r="V350" s="257"/>
      <c r="W350" s="257"/>
      <c r="X350" s="257"/>
      <c r="Y350" s="257"/>
      <c r="Z350" s="257"/>
    </row>
    <row r="351" ht="14.25" customHeight="1">
      <c r="A351" s="257"/>
      <c r="B351" s="257"/>
      <c r="C351" s="257"/>
      <c r="D351" s="257"/>
      <c r="E351" s="257"/>
      <c r="F351" s="257"/>
      <c r="G351" s="257"/>
      <c r="H351" s="257"/>
      <c r="I351" s="257"/>
      <c r="J351" s="257"/>
      <c r="K351" s="257"/>
      <c r="L351" s="257"/>
      <c r="M351" s="257"/>
      <c r="N351" s="257"/>
      <c r="O351" s="257"/>
      <c r="P351" s="257"/>
      <c r="Q351" s="257"/>
      <c r="R351" s="257"/>
      <c r="S351" s="257"/>
      <c r="T351" s="257"/>
      <c r="U351" s="257"/>
      <c r="V351" s="257"/>
      <c r="W351" s="257"/>
      <c r="X351" s="257"/>
      <c r="Y351" s="257"/>
      <c r="Z351" s="257"/>
    </row>
    <row r="352" ht="14.25" customHeight="1">
      <c r="A352" s="257"/>
      <c r="B352" s="257"/>
      <c r="C352" s="257"/>
      <c r="D352" s="257"/>
      <c r="E352" s="257"/>
      <c r="F352" s="257"/>
      <c r="G352" s="257"/>
      <c r="H352" s="257"/>
      <c r="I352" s="257"/>
      <c r="J352" s="257"/>
      <c r="K352" s="257"/>
      <c r="L352" s="257"/>
      <c r="M352" s="257"/>
      <c r="N352" s="257"/>
      <c r="O352" s="257"/>
      <c r="P352" s="257"/>
      <c r="Q352" s="257"/>
      <c r="R352" s="257"/>
      <c r="S352" s="257"/>
      <c r="T352" s="257"/>
      <c r="U352" s="257"/>
      <c r="V352" s="257"/>
      <c r="W352" s="257"/>
      <c r="X352" s="257"/>
      <c r="Y352" s="257"/>
      <c r="Z352" s="257"/>
    </row>
    <row r="353" ht="14.25" customHeight="1">
      <c r="A353" s="257"/>
      <c r="B353" s="257"/>
      <c r="C353" s="257"/>
      <c r="D353" s="257"/>
      <c r="E353" s="257"/>
      <c r="F353" s="257"/>
      <c r="G353" s="257"/>
      <c r="H353" s="257"/>
      <c r="I353" s="257"/>
      <c r="J353" s="257"/>
      <c r="K353" s="257"/>
      <c r="L353" s="257"/>
      <c r="M353" s="257"/>
      <c r="N353" s="257"/>
      <c r="O353" s="257"/>
      <c r="P353" s="257"/>
      <c r="Q353" s="257"/>
      <c r="R353" s="257"/>
      <c r="S353" s="257"/>
      <c r="T353" s="257"/>
      <c r="U353" s="257"/>
      <c r="V353" s="257"/>
      <c r="W353" s="257"/>
      <c r="X353" s="257"/>
      <c r="Y353" s="257"/>
      <c r="Z353" s="257"/>
    </row>
    <row r="354" ht="14.25" customHeight="1">
      <c r="A354" s="257"/>
      <c r="B354" s="257"/>
      <c r="C354" s="257"/>
      <c r="D354" s="257"/>
      <c r="E354" s="257"/>
      <c r="F354" s="257"/>
      <c r="G354" s="257"/>
      <c r="H354" s="257"/>
      <c r="I354" s="257"/>
      <c r="J354" s="257"/>
      <c r="K354" s="257"/>
      <c r="L354" s="257"/>
      <c r="M354" s="257"/>
      <c r="N354" s="257"/>
      <c r="O354" s="257"/>
      <c r="P354" s="257"/>
      <c r="Q354" s="257"/>
      <c r="R354" s="257"/>
      <c r="S354" s="257"/>
      <c r="T354" s="257"/>
      <c r="U354" s="257"/>
      <c r="V354" s="257"/>
      <c r="W354" s="257"/>
      <c r="X354" s="257"/>
      <c r="Y354" s="257"/>
      <c r="Z354" s="257"/>
    </row>
    <row r="355" ht="14.25" customHeight="1">
      <c r="A355" s="257"/>
      <c r="B355" s="257"/>
      <c r="C355" s="257"/>
      <c r="D355" s="257"/>
      <c r="E355" s="257"/>
      <c r="F355" s="257"/>
      <c r="G355" s="257"/>
      <c r="H355" s="257"/>
      <c r="I355" s="257"/>
      <c r="J355" s="257"/>
      <c r="K355" s="257"/>
      <c r="L355" s="257"/>
      <c r="M355" s="257"/>
      <c r="N355" s="257"/>
      <c r="O355" s="257"/>
      <c r="P355" s="257"/>
      <c r="Q355" s="257"/>
      <c r="R355" s="257"/>
      <c r="S355" s="257"/>
      <c r="T355" s="257"/>
      <c r="U355" s="257"/>
      <c r="V355" s="257"/>
      <c r="W355" s="257"/>
      <c r="X355" s="257"/>
      <c r="Y355" s="257"/>
      <c r="Z355" s="257"/>
    </row>
    <row r="356" ht="14.25" customHeight="1">
      <c r="A356" s="257"/>
      <c r="B356" s="257"/>
      <c r="C356" s="257"/>
      <c r="D356" s="257"/>
      <c r="E356" s="257"/>
      <c r="F356" s="257"/>
      <c r="G356" s="257"/>
      <c r="H356" s="257"/>
      <c r="I356" s="257"/>
      <c r="J356" s="257"/>
      <c r="K356" s="257"/>
      <c r="L356" s="257"/>
      <c r="M356" s="257"/>
      <c r="N356" s="257"/>
      <c r="O356" s="257"/>
      <c r="P356" s="257"/>
      <c r="Q356" s="257"/>
      <c r="R356" s="257"/>
      <c r="S356" s="257"/>
      <c r="T356" s="257"/>
      <c r="U356" s="257"/>
      <c r="V356" s="257"/>
      <c r="W356" s="257"/>
      <c r="X356" s="257"/>
      <c r="Y356" s="257"/>
      <c r="Z356" s="257"/>
    </row>
    <row r="357" ht="14.25" customHeight="1">
      <c r="A357" s="257"/>
      <c r="B357" s="257"/>
      <c r="C357" s="257"/>
      <c r="D357" s="257"/>
      <c r="E357" s="257"/>
      <c r="F357" s="257"/>
      <c r="G357" s="257"/>
      <c r="H357" s="257"/>
      <c r="I357" s="257"/>
      <c r="J357" s="257"/>
      <c r="K357" s="257"/>
      <c r="L357" s="257"/>
      <c r="M357" s="257"/>
      <c r="N357" s="257"/>
      <c r="O357" s="257"/>
      <c r="P357" s="257"/>
      <c r="Q357" s="257"/>
      <c r="R357" s="257"/>
      <c r="S357" s="257"/>
      <c r="T357" s="257"/>
      <c r="U357" s="257"/>
      <c r="V357" s="257"/>
      <c r="W357" s="257"/>
      <c r="X357" s="257"/>
      <c r="Y357" s="257"/>
      <c r="Z357" s="257"/>
    </row>
    <row r="358" ht="14.25" customHeight="1">
      <c r="A358" s="257"/>
      <c r="B358" s="257"/>
      <c r="C358" s="257"/>
      <c r="D358" s="257"/>
      <c r="E358" s="257"/>
      <c r="F358" s="257"/>
      <c r="G358" s="257"/>
      <c r="H358" s="257"/>
      <c r="I358" s="257"/>
      <c r="J358" s="257"/>
      <c r="K358" s="257"/>
      <c r="L358" s="257"/>
      <c r="M358" s="257"/>
      <c r="N358" s="257"/>
      <c r="O358" s="257"/>
      <c r="P358" s="257"/>
      <c r="Q358" s="257"/>
      <c r="R358" s="257"/>
      <c r="S358" s="257"/>
      <c r="T358" s="257"/>
      <c r="U358" s="257"/>
      <c r="V358" s="257"/>
      <c r="W358" s="257"/>
      <c r="X358" s="257"/>
      <c r="Y358" s="257"/>
      <c r="Z358" s="257"/>
    </row>
    <row r="359" ht="14.25" customHeight="1">
      <c r="A359" s="257"/>
      <c r="B359" s="257"/>
      <c r="C359" s="257"/>
      <c r="D359" s="257"/>
      <c r="E359" s="257"/>
      <c r="F359" s="257"/>
      <c r="G359" s="257"/>
      <c r="H359" s="257"/>
      <c r="I359" s="257"/>
      <c r="J359" s="257"/>
      <c r="K359" s="257"/>
      <c r="L359" s="257"/>
      <c r="M359" s="257"/>
      <c r="N359" s="257"/>
      <c r="O359" s="257"/>
      <c r="P359" s="257"/>
      <c r="Q359" s="257"/>
      <c r="R359" s="257"/>
      <c r="S359" s="257"/>
      <c r="T359" s="257"/>
      <c r="U359" s="257"/>
      <c r="V359" s="257"/>
      <c r="W359" s="257"/>
      <c r="X359" s="257"/>
      <c r="Y359" s="257"/>
      <c r="Z359" s="257"/>
    </row>
    <row r="360" ht="14.25" customHeight="1">
      <c r="A360" s="257"/>
      <c r="B360" s="257"/>
      <c r="C360" s="257"/>
      <c r="D360" s="257"/>
      <c r="E360" s="257"/>
      <c r="F360" s="257"/>
      <c r="G360" s="257"/>
      <c r="H360" s="257"/>
      <c r="I360" s="257"/>
      <c r="J360" s="257"/>
      <c r="K360" s="257"/>
      <c r="L360" s="257"/>
      <c r="M360" s="257"/>
      <c r="N360" s="257"/>
      <c r="O360" s="257"/>
      <c r="P360" s="257"/>
      <c r="Q360" s="257"/>
      <c r="R360" s="257"/>
      <c r="S360" s="257"/>
      <c r="T360" s="257"/>
      <c r="U360" s="257"/>
      <c r="V360" s="257"/>
      <c r="W360" s="257"/>
      <c r="X360" s="257"/>
      <c r="Y360" s="257"/>
      <c r="Z360" s="257"/>
    </row>
    <row r="361" ht="14.25" customHeight="1">
      <c r="A361" s="257"/>
      <c r="B361" s="257"/>
      <c r="C361" s="257"/>
      <c r="D361" s="257"/>
      <c r="E361" s="257"/>
      <c r="F361" s="257"/>
      <c r="G361" s="257"/>
      <c r="H361" s="257"/>
      <c r="I361" s="257"/>
      <c r="J361" s="257"/>
      <c r="K361" s="257"/>
      <c r="L361" s="257"/>
      <c r="M361" s="257"/>
      <c r="N361" s="257"/>
      <c r="O361" s="257"/>
      <c r="P361" s="257"/>
      <c r="Q361" s="257"/>
      <c r="R361" s="257"/>
      <c r="S361" s="257"/>
      <c r="T361" s="257"/>
      <c r="U361" s="257"/>
      <c r="V361" s="257"/>
      <c r="W361" s="257"/>
      <c r="X361" s="257"/>
      <c r="Y361" s="257"/>
      <c r="Z361" s="257"/>
    </row>
    <row r="362" ht="14.25" customHeight="1">
      <c r="A362" s="257"/>
      <c r="B362" s="257"/>
      <c r="C362" s="257"/>
      <c r="D362" s="257"/>
      <c r="E362" s="257"/>
      <c r="F362" s="257"/>
      <c r="G362" s="257"/>
      <c r="H362" s="257"/>
      <c r="I362" s="257"/>
      <c r="J362" s="257"/>
      <c r="K362" s="257"/>
      <c r="L362" s="257"/>
      <c r="M362" s="257"/>
      <c r="N362" s="257"/>
      <c r="O362" s="257"/>
      <c r="P362" s="257"/>
      <c r="Q362" s="257"/>
      <c r="R362" s="257"/>
      <c r="S362" s="257"/>
      <c r="T362" s="257"/>
      <c r="U362" s="257"/>
      <c r="V362" s="257"/>
      <c r="W362" s="257"/>
      <c r="X362" s="257"/>
      <c r="Y362" s="257"/>
      <c r="Z362" s="257"/>
    </row>
    <row r="363" ht="14.25" customHeight="1">
      <c r="A363" s="257"/>
      <c r="B363" s="257"/>
      <c r="C363" s="257"/>
      <c r="D363" s="257"/>
      <c r="E363" s="257"/>
      <c r="F363" s="257"/>
      <c r="G363" s="257"/>
      <c r="H363" s="257"/>
      <c r="I363" s="257"/>
      <c r="J363" s="257"/>
      <c r="K363" s="257"/>
      <c r="L363" s="257"/>
      <c r="M363" s="257"/>
      <c r="N363" s="257"/>
      <c r="O363" s="257"/>
      <c r="P363" s="257"/>
      <c r="Q363" s="257"/>
      <c r="R363" s="257"/>
      <c r="S363" s="257"/>
      <c r="T363" s="257"/>
      <c r="U363" s="257"/>
      <c r="V363" s="257"/>
      <c r="W363" s="257"/>
      <c r="X363" s="257"/>
      <c r="Y363" s="257"/>
      <c r="Z363" s="257"/>
    </row>
    <row r="364" ht="14.25" customHeight="1">
      <c r="A364" s="257"/>
      <c r="B364" s="257"/>
      <c r="C364" s="257"/>
      <c r="D364" s="257"/>
      <c r="E364" s="257"/>
      <c r="F364" s="257"/>
      <c r="G364" s="257"/>
      <c r="H364" s="257"/>
      <c r="I364" s="257"/>
      <c r="J364" s="257"/>
      <c r="K364" s="257"/>
      <c r="L364" s="257"/>
      <c r="M364" s="257"/>
      <c r="N364" s="257"/>
      <c r="O364" s="257"/>
      <c r="P364" s="257"/>
      <c r="Q364" s="257"/>
      <c r="R364" s="257"/>
      <c r="S364" s="257"/>
      <c r="T364" s="257"/>
      <c r="U364" s="257"/>
      <c r="V364" s="257"/>
      <c r="W364" s="257"/>
      <c r="X364" s="257"/>
      <c r="Y364" s="257"/>
      <c r="Z364" s="257"/>
    </row>
    <row r="365" ht="14.25" customHeight="1">
      <c r="A365" s="257"/>
      <c r="B365" s="257"/>
      <c r="C365" s="257"/>
      <c r="D365" s="257"/>
      <c r="E365" s="257"/>
      <c r="F365" s="257"/>
      <c r="G365" s="257"/>
      <c r="H365" s="257"/>
      <c r="I365" s="257"/>
      <c r="J365" s="257"/>
      <c r="K365" s="257"/>
      <c r="L365" s="257"/>
      <c r="M365" s="257"/>
      <c r="N365" s="257"/>
      <c r="O365" s="257"/>
      <c r="P365" s="257"/>
      <c r="Q365" s="257"/>
      <c r="R365" s="257"/>
      <c r="S365" s="257"/>
      <c r="T365" s="257"/>
      <c r="U365" s="257"/>
      <c r="V365" s="257"/>
      <c r="W365" s="257"/>
      <c r="X365" s="257"/>
      <c r="Y365" s="257"/>
      <c r="Z365" s="257"/>
    </row>
    <row r="366" ht="14.25" customHeight="1">
      <c r="A366" s="257"/>
      <c r="B366" s="257"/>
      <c r="C366" s="257"/>
      <c r="D366" s="257"/>
      <c r="E366" s="257"/>
      <c r="F366" s="257"/>
      <c r="G366" s="257"/>
      <c r="H366" s="257"/>
      <c r="I366" s="257"/>
      <c r="J366" s="257"/>
      <c r="K366" s="257"/>
      <c r="L366" s="257"/>
      <c r="M366" s="257"/>
      <c r="N366" s="257"/>
      <c r="O366" s="257"/>
      <c r="P366" s="257"/>
      <c r="Q366" s="257"/>
      <c r="R366" s="257"/>
      <c r="S366" s="257"/>
      <c r="T366" s="257"/>
      <c r="U366" s="257"/>
      <c r="V366" s="257"/>
      <c r="W366" s="257"/>
      <c r="X366" s="257"/>
      <c r="Y366" s="257"/>
      <c r="Z366" s="257"/>
    </row>
    <row r="367" ht="14.25" customHeight="1">
      <c r="A367" s="257"/>
      <c r="B367" s="257"/>
      <c r="C367" s="257"/>
      <c r="D367" s="257"/>
      <c r="E367" s="257"/>
      <c r="F367" s="257"/>
      <c r="G367" s="257"/>
      <c r="H367" s="257"/>
      <c r="I367" s="257"/>
      <c r="J367" s="257"/>
      <c r="K367" s="257"/>
      <c r="L367" s="257"/>
      <c r="M367" s="257"/>
      <c r="N367" s="257"/>
      <c r="O367" s="257"/>
      <c r="P367" s="257"/>
      <c r="Q367" s="257"/>
      <c r="R367" s="257"/>
      <c r="S367" s="257"/>
      <c r="T367" s="257"/>
      <c r="U367" s="257"/>
      <c r="V367" s="257"/>
      <c r="W367" s="257"/>
      <c r="X367" s="257"/>
      <c r="Y367" s="257"/>
      <c r="Z367" s="257"/>
    </row>
    <row r="368" ht="14.25" customHeight="1">
      <c r="A368" s="257"/>
      <c r="B368" s="257"/>
      <c r="C368" s="257"/>
      <c r="D368" s="257"/>
      <c r="E368" s="257"/>
      <c r="F368" s="257"/>
      <c r="G368" s="257"/>
      <c r="H368" s="257"/>
      <c r="I368" s="257"/>
      <c r="J368" s="257"/>
      <c r="K368" s="257"/>
      <c r="L368" s="257"/>
      <c r="M368" s="257"/>
      <c r="N368" s="257"/>
      <c r="O368" s="257"/>
      <c r="P368" s="257"/>
      <c r="Q368" s="257"/>
      <c r="R368" s="257"/>
      <c r="S368" s="257"/>
      <c r="T368" s="257"/>
      <c r="U368" s="257"/>
      <c r="V368" s="257"/>
      <c r="W368" s="257"/>
      <c r="X368" s="257"/>
      <c r="Y368" s="257"/>
      <c r="Z368" s="257"/>
    </row>
    <row r="369" ht="14.25" customHeight="1">
      <c r="A369" s="257"/>
      <c r="B369" s="257"/>
      <c r="C369" s="257"/>
      <c r="D369" s="257"/>
      <c r="E369" s="257"/>
      <c r="F369" s="257"/>
      <c r="G369" s="257"/>
      <c r="H369" s="257"/>
      <c r="I369" s="257"/>
      <c r="J369" s="257"/>
      <c r="K369" s="257"/>
      <c r="L369" s="257"/>
      <c r="M369" s="257"/>
      <c r="N369" s="257"/>
      <c r="O369" s="257"/>
      <c r="P369" s="257"/>
      <c r="Q369" s="257"/>
      <c r="R369" s="257"/>
      <c r="S369" s="257"/>
      <c r="T369" s="257"/>
      <c r="U369" s="257"/>
      <c r="V369" s="257"/>
      <c r="W369" s="257"/>
      <c r="X369" s="257"/>
      <c r="Y369" s="257"/>
      <c r="Z369" s="257"/>
    </row>
    <row r="370" ht="14.25" customHeight="1">
      <c r="A370" s="257"/>
      <c r="B370" s="257"/>
      <c r="C370" s="257"/>
      <c r="D370" s="257"/>
      <c r="E370" s="257"/>
      <c r="F370" s="257"/>
      <c r="G370" s="257"/>
      <c r="H370" s="257"/>
      <c r="I370" s="257"/>
      <c r="J370" s="257"/>
      <c r="K370" s="257"/>
      <c r="L370" s="257"/>
      <c r="M370" s="257"/>
      <c r="N370" s="257"/>
      <c r="O370" s="257"/>
      <c r="P370" s="257"/>
      <c r="Q370" s="257"/>
      <c r="R370" s="257"/>
      <c r="S370" s="257"/>
      <c r="T370" s="257"/>
      <c r="U370" s="257"/>
      <c r="V370" s="257"/>
      <c r="W370" s="257"/>
      <c r="X370" s="257"/>
      <c r="Y370" s="257"/>
      <c r="Z370" s="257"/>
    </row>
    <row r="371" ht="14.25" customHeight="1">
      <c r="A371" s="257"/>
      <c r="B371" s="257"/>
      <c r="C371" s="257"/>
      <c r="D371" s="257"/>
      <c r="E371" s="257"/>
      <c r="F371" s="257"/>
      <c r="G371" s="257"/>
      <c r="H371" s="257"/>
      <c r="I371" s="257"/>
      <c r="J371" s="257"/>
      <c r="K371" s="257"/>
      <c r="L371" s="257"/>
      <c r="M371" s="257"/>
      <c r="N371" s="257"/>
      <c r="O371" s="257"/>
      <c r="P371" s="257"/>
      <c r="Q371" s="257"/>
      <c r="R371" s="257"/>
      <c r="S371" s="257"/>
      <c r="T371" s="257"/>
      <c r="U371" s="257"/>
      <c r="V371" s="257"/>
      <c r="W371" s="257"/>
      <c r="X371" s="257"/>
      <c r="Y371" s="257"/>
      <c r="Z371" s="257"/>
    </row>
    <row r="372" ht="14.25" customHeight="1">
      <c r="A372" s="257"/>
      <c r="B372" s="257"/>
      <c r="C372" s="257"/>
      <c r="D372" s="257"/>
      <c r="E372" s="257"/>
      <c r="F372" s="257"/>
      <c r="G372" s="257"/>
      <c r="H372" s="257"/>
      <c r="I372" s="257"/>
      <c r="J372" s="257"/>
      <c r="K372" s="257"/>
      <c r="L372" s="257"/>
      <c r="M372" s="257"/>
      <c r="N372" s="257"/>
      <c r="O372" s="257"/>
      <c r="P372" s="257"/>
      <c r="Q372" s="257"/>
      <c r="R372" s="257"/>
      <c r="S372" s="257"/>
      <c r="T372" s="257"/>
      <c r="U372" s="257"/>
      <c r="V372" s="257"/>
      <c r="W372" s="257"/>
      <c r="X372" s="257"/>
      <c r="Y372" s="257"/>
      <c r="Z372" s="257"/>
    </row>
    <row r="373" ht="14.25" customHeight="1">
      <c r="A373" s="257"/>
      <c r="B373" s="257"/>
      <c r="C373" s="257"/>
      <c r="D373" s="257"/>
      <c r="E373" s="257"/>
      <c r="F373" s="257"/>
      <c r="G373" s="257"/>
      <c r="H373" s="257"/>
      <c r="I373" s="257"/>
      <c r="J373" s="257"/>
      <c r="K373" s="257"/>
      <c r="L373" s="257"/>
      <c r="M373" s="257"/>
      <c r="N373" s="257"/>
      <c r="O373" s="257"/>
      <c r="P373" s="257"/>
      <c r="Q373" s="257"/>
      <c r="R373" s="257"/>
      <c r="S373" s="257"/>
      <c r="T373" s="257"/>
      <c r="U373" s="257"/>
      <c r="V373" s="257"/>
      <c r="W373" s="257"/>
      <c r="X373" s="257"/>
      <c r="Y373" s="257"/>
      <c r="Z373" s="257"/>
    </row>
    <row r="374" ht="14.25" customHeight="1">
      <c r="A374" s="257"/>
      <c r="B374" s="257"/>
      <c r="C374" s="257"/>
      <c r="D374" s="257"/>
      <c r="E374" s="257"/>
      <c r="F374" s="257"/>
      <c r="G374" s="257"/>
      <c r="H374" s="257"/>
      <c r="I374" s="257"/>
      <c r="J374" s="257"/>
      <c r="K374" s="257"/>
      <c r="L374" s="257"/>
      <c r="M374" s="257"/>
      <c r="N374" s="257"/>
      <c r="O374" s="257"/>
      <c r="P374" s="257"/>
      <c r="Q374" s="257"/>
      <c r="R374" s="257"/>
      <c r="S374" s="257"/>
      <c r="T374" s="257"/>
      <c r="U374" s="257"/>
      <c r="V374" s="257"/>
      <c r="W374" s="257"/>
      <c r="X374" s="257"/>
      <c r="Y374" s="257"/>
      <c r="Z374" s="257"/>
    </row>
    <row r="375" ht="14.25" customHeight="1">
      <c r="A375" s="257"/>
      <c r="B375" s="257"/>
      <c r="C375" s="257"/>
      <c r="D375" s="257"/>
      <c r="E375" s="257"/>
      <c r="F375" s="257"/>
      <c r="G375" s="257"/>
      <c r="H375" s="257"/>
      <c r="I375" s="257"/>
      <c r="J375" s="257"/>
      <c r="K375" s="257"/>
      <c r="L375" s="257"/>
      <c r="M375" s="257"/>
      <c r="N375" s="257"/>
      <c r="O375" s="257"/>
      <c r="P375" s="257"/>
      <c r="Q375" s="257"/>
      <c r="R375" s="257"/>
      <c r="S375" s="257"/>
      <c r="T375" s="257"/>
      <c r="U375" s="257"/>
      <c r="V375" s="257"/>
      <c r="W375" s="257"/>
      <c r="X375" s="257"/>
      <c r="Y375" s="257"/>
      <c r="Z375" s="257"/>
    </row>
    <row r="376" ht="14.25" customHeight="1">
      <c r="A376" s="257"/>
      <c r="B376" s="257"/>
      <c r="C376" s="257"/>
      <c r="D376" s="257"/>
      <c r="E376" s="257"/>
      <c r="F376" s="257"/>
      <c r="G376" s="257"/>
      <c r="H376" s="257"/>
      <c r="I376" s="257"/>
      <c r="J376" s="257"/>
      <c r="K376" s="257"/>
      <c r="L376" s="257"/>
      <c r="M376" s="257"/>
      <c r="N376" s="257"/>
      <c r="O376" s="257"/>
      <c r="P376" s="257"/>
      <c r="Q376" s="257"/>
      <c r="R376" s="257"/>
      <c r="S376" s="257"/>
      <c r="T376" s="257"/>
      <c r="U376" s="257"/>
      <c r="V376" s="257"/>
      <c r="W376" s="257"/>
      <c r="X376" s="257"/>
      <c r="Y376" s="257"/>
      <c r="Z376" s="257"/>
    </row>
    <row r="377" ht="14.25" customHeight="1">
      <c r="A377" s="257"/>
      <c r="B377" s="257"/>
      <c r="C377" s="257"/>
      <c r="D377" s="257"/>
      <c r="E377" s="257"/>
      <c r="F377" s="257"/>
      <c r="G377" s="257"/>
      <c r="H377" s="257"/>
      <c r="I377" s="257"/>
      <c r="J377" s="257"/>
      <c r="K377" s="257"/>
      <c r="L377" s="257"/>
      <c r="M377" s="257"/>
      <c r="N377" s="257"/>
      <c r="O377" s="257"/>
      <c r="P377" s="257"/>
      <c r="Q377" s="257"/>
      <c r="R377" s="257"/>
      <c r="S377" s="257"/>
      <c r="T377" s="257"/>
      <c r="U377" s="257"/>
      <c r="V377" s="257"/>
      <c r="W377" s="257"/>
      <c r="X377" s="257"/>
      <c r="Y377" s="257"/>
      <c r="Z377" s="257"/>
    </row>
    <row r="378" ht="14.25" customHeight="1">
      <c r="A378" s="257"/>
      <c r="B378" s="257"/>
      <c r="C378" s="257"/>
      <c r="D378" s="257"/>
      <c r="E378" s="257"/>
      <c r="F378" s="257"/>
      <c r="G378" s="257"/>
      <c r="H378" s="257"/>
      <c r="I378" s="257"/>
      <c r="J378" s="257"/>
      <c r="K378" s="257"/>
      <c r="L378" s="257"/>
      <c r="M378" s="257"/>
      <c r="N378" s="257"/>
      <c r="O378" s="257"/>
      <c r="P378" s="257"/>
      <c r="Q378" s="257"/>
      <c r="R378" s="257"/>
      <c r="S378" s="257"/>
      <c r="T378" s="257"/>
      <c r="U378" s="257"/>
      <c r="V378" s="257"/>
      <c r="W378" s="257"/>
      <c r="X378" s="257"/>
      <c r="Y378" s="257"/>
      <c r="Z378" s="257"/>
    </row>
    <row r="379" ht="14.25" customHeight="1">
      <c r="A379" s="257"/>
      <c r="B379" s="257"/>
      <c r="C379" s="257"/>
      <c r="D379" s="257"/>
      <c r="E379" s="257"/>
      <c r="F379" s="257"/>
      <c r="G379" s="257"/>
      <c r="H379" s="257"/>
      <c r="I379" s="257"/>
      <c r="J379" s="257"/>
      <c r="K379" s="257"/>
      <c r="L379" s="257"/>
      <c r="M379" s="257"/>
      <c r="N379" s="257"/>
      <c r="O379" s="257"/>
      <c r="P379" s="257"/>
      <c r="Q379" s="257"/>
      <c r="R379" s="257"/>
      <c r="S379" s="257"/>
      <c r="T379" s="257"/>
      <c r="U379" s="257"/>
      <c r="V379" s="257"/>
      <c r="W379" s="257"/>
      <c r="X379" s="257"/>
      <c r="Y379" s="257"/>
      <c r="Z379" s="257"/>
    </row>
    <row r="380" ht="14.25" customHeight="1">
      <c r="A380" s="257"/>
      <c r="B380" s="257"/>
      <c r="C380" s="257"/>
      <c r="D380" s="257"/>
      <c r="E380" s="257"/>
      <c r="F380" s="257"/>
      <c r="G380" s="257"/>
      <c r="H380" s="257"/>
      <c r="I380" s="257"/>
      <c r="J380" s="257"/>
      <c r="K380" s="257"/>
      <c r="L380" s="257"/>
      <c r="M380" s="257"/>
      <c r="N380" s="257"/>
      <c r="O380" s="257"/>
      <c r="P380" s="257"/>
      <c r="Q380" s="257"/>
      <c r="R380" s="257"/>
      <c r="S380" s="257"/>
      <c r="T380" s="257"/>
      <c r="U380" s="257"/>
      <c r="V380" s="257"/>
      <c r="W380" s="257"/>
      <c r="X380" s="257"/>
      <c r="Y380" s="257"/>
      <c r="Z380" s="257"/>
    </row>
    <row r="381" ht="14.25" customHeight="1">
      <c r="A381" s="257"/>
      <c r="B381" s="257"/>
      <c r="C381" s="257"/>
      <c r="D381" s="257"/>
      <c r="E381" s="257"/>
      <c r="F381" s="257"/>
      <c r="G381" s="257"/>
      <c r="H381" s="257"/>
      <c r="I381" s="257"/>
      <c r="J381" s="257"/>
      <c r="K381" s="257"/>
      <c r="L381" s="257"/>
      <c r="M381" s="257"/>
      <c r="N381" s="257"/>
      <c r="O381" s="257"/>
      <c r="P381" s="257"/>
      <c r="Q381" s="257"/>
      <c r="R381" s="257"/>
      <c r="S381" s="257"/>
      <c r="T381" s="257"/>
      <c r="U381" s="257"/>
      <c r="V381" s="257"/>
      <c r="W381" s="257"/>
      <c r="X381" s="257"/>
      <c r="Y381" s="257"/>
      <c r="Z381" s="257"/>
    </row>
    <row r="382" ht="14.25" customHeight="1">
      <c r="A382" s="257"/>
      <c r="B382" s="257"/>
      <c r="C382" s="257"/>
      <c r="D382" s="257"/>
      <c r="E382" s="257"/>
      <c r="F382" s="257"/>
      <c r="G382" s="257"/>
      <c r="H382" s="257"/>
      <c r="I382" s="257"/>
      <c r="J382" s="257"/>
      <c r="K382" s="257"/>
      <c r="L382" s="257"/>
      <c r="M382" s="257"/>
      <c r="N382" s="257"/>
      <c r="O382" s="257"/>
      <c r="P382" s="257"/>
      <c r="Q382" s="257"/>
      <c r="R382" s="257"/>
      <c r="S382" s="257"/>
      <c r="T382" s="257"/>
      <c r="U382" s="257"/>
      <c r="V382" s="257"/>
      <c r="W382" s="257"/>
      <c r="X382" s="257"/>
      <c r="Y382" s="257"/>
      <c r="Z382" s="257"/>
    </row>
    <row r="383" ht="14.25" customHeight="1">
      <c r="A383" s="257"/>
      <c r="B383" s="257"/>
      <c r="C383" s="257"/>
      <c r="D383" s="257"/>
      <c r="E383" s="257"/>
      <c r="F383" s="257"/>
      <c r="G383" s="257"/>
      <c r="H383" s="257"/>
      <c r="I383" s="257"/>
      <c r="J383" s="257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7"/>
      <c r="X383" s="257"/>
      <c r="Y383" s="257"/>
      <c r="Z383" s="257"/>
    </row>
    <row r="384" ht="14.25" customHeight="1">
      <c r="A384" s="257"/>
      <c r="B384" s="257"/>
      <c r="C384" s="257"/>
      <c r="D384" s="257"/>
      <c r="E384" s="257"/>
      <c r="F384" s="257"/>
      <c r="G384" s="257"/>
      <c r="H384" s="257"/>
      <c r="I384" s="257"/>
      <c r="J384" s="257"/>
      <c r="K384" s="257"/>
      <c r="L384" s="257"/>
      <c r="M384" s="257"/>
      <c r="N384" s="257"/>
      <c r="O384" s="257"/>
      <c r="P384" s="257"/>
      <c r="Q384" s="257"/>
      <c r="R384" s="257"/>
      <c r="S384" s="257"/>
      <c r="T384" s="257"/>
      <c r="U384" s="257"/>
      <c r="V384" s="257"/>
      <c r="W384" s="257"/>
      <c r="X384" s="257"/>
      <c r="Y384" s="257"/>
      <c r="Z384" s="257"/>
    </row>
    <row r="385" ht="14.25" customHeight="1">
      <c r="A385" s="257"/>
      <c r="B385" s="257"/>
      <c r="C385" s="257"/>
      <c r="D385" s="257"/>
      <c r="E385" s="257"/>
      <c r="F385" s="257"/>
      <c r="G385" s="257"/>
      <c r="H385" s="257"/>
      <c r="I385" s="257"/>
      <c r="J385" s="257"/>
      <c r="K385" s="257"/>
      <c r="L385" s="257"/>
      <c r="M385" s="257"/>
      <c r="N385" s="257"/>
      <c r="O385" s="257"/>
      <c r="P385" s="257"/>
      <c r="Q385" s="257"/>
      <c r="R385" s="257"/>
      <c r="S385" s="257"/>
      <c r="T385" s="257"/>
      <c r="U385" s="257"/>
      <c r="V385" s="257"/>
      <c r="W385" s="257"/>
      <c r="X385" s="257"/>
      <c r="Y385" s="257"/>
      <c r="Z385" s="257"/>
    </row>
    <row r="386" ht="14.25" customHeight="1">
      <c r="A386" s="257"/>
      <c r="B386" s="257"/>
      <c r="C386" s="257"/>
      <c r="D386" s="257"/>
      <c r="E386" s="257"/>
      <c r="F386" s="257"/>
      <c r="G386" s="257"/>
      <c r="H386" s="257"/>
      <c r="I386" s="257"/>
      <c r="J386" s="257"/>
      <c r="K386" s="257"/>
      <c r="L386" s="257"/>
      <c r="M386" s="257"/>
      <c r="N386" s="257"/>
      <c r="O386" s="257"/>
      <c r="P386" s="257"/>
      <c r="Q386" s="257"/>
      <c r="R386" s="257"/>
      <c r="S386" s="257"/>
      <c r="T386" s="257"/>
      <c r="U386" s="257"/>
      <c r="V386" s="257"/>
      <c r="W386" s="257"/>
      <c r="X386" s="257"/>
      <c r="Y386" s="257"/>
      <c r="Z386" s="257"/>
    </row>
    <row r="387" ht="14.25" customHeight="1">
      <c r="A387" s="257"/>
      <c r="B387" s="257"/>
      <c r="C387" s="257"/>
      <c r="D387" s="257"/>
      <c r="E387" s="257"/>
      <c r="F387" s="257"/>
      <c r="G387" s="257"/>
      <c r="H387" s="257"/>
      <c r="I387" s="257"/>
      <c r="J387" s="257"/>
      <c r="K387" s="257"/>
      <c r="L387" s="257"/>
      <c r="M387" s="257"/>
      <c r="N387" s="257"/>
      <c r="O387" s="257"/>
      <c r="P387" s="257"/>
      <c r="Q387" s="257"/>
      <c r="R387" s="257"/>
      <c r="S387" s="257"/>
      <c r="T387" s="257"/>
      <c r="U387" s="257"/>
      <c r="V387" s="257"/>
      <c r="W387" s="257"/>
      <c r="X387" s="257"/>
      <c r="Y387" s="257"/>
      <c r="Z387" s="257"/>
    </row>
    <row r="388" ht="14.25" customHeight="1">
      <c r="A388" s="257"/>
      <c r="B388" s="257"/>
      <c r="C388" s="257"/>
      <c r="D388" s="257"/>
      <c r="E388" s="257"/>
      <c r="F388" s="257"/>
      <c r="G388" s="257"/>
      <c r="H388" s="257"/>
      <c r="I388" s="257"/>
      <c r="J388" s="257"/>
      <c r="K388" s="257"/>
      <c r="L388" s="257"/>
      <c r="M388" s="257"/>
      <c r="N388" s="257"/>
      <c r="O388" s="257"/>
      <c r="P388" s="257"/>
      <c r="Q388" s="257"/>
      <c r="R388" s="257"/>
      <c r="S388" s="257"/>
      <c r="T388" s="257"/>
      <c r="U388" s="257"/>
      <c r="V388" s="257"/>
      <c r="W388" s="257"/>
      <c r="X388" s="257"/>
      <c r="Y388" s="257"/>
      <c r="Z388" s="257"/>
    </row>
    <row r="389" ht="14.25" customHeight="1">
      <c r="A389" s="257"/>
      <c r="B389" s="257"/>
      <c r="C389" s="257"/>
      <c r="D389" s="257"/>
      <c r="E389" s="257"/>
      <c r="F389" s="257"/>
      <c r="G389" s="257"/>
      <c r="H389" s="257"/>
      <c r="I389" s="257"/>
      <c r="J389" s="257"/>
      <c r="K389" s="257"/>
      <c r="L389" s="257"/>
      <c r="M389" s="257"/>
      <c r="N389" s="257"/>
      <c r="O389" s="257"/>
      <c r="P389" s="257"/>
      <c r="Q389" s="257"/>
      <c r="R389" s="257"/>
      <c r="S389" s="257"/>
      <c r="T389" s="257"/>
      <c r="U389" s="257"/>
      <c r="V389" s="257"/>
      <c r="W389" s="257"/>
      <c r="X389" s="257"/>
      <c r="Y389" s="257"/>
      <c r="Z389" s="257"/>
    </row>
    <row r="390" ht="14.25" customHeight="1">
      <c r="A390" s="257"/>
      <c r="B390" s="257"/>
      <c r="C390" s="257"/>
      <c r="D390" s="257"/>
      <c r="E390" s="257"/>
      <c r="F390" s="257"/>
      <c r="G390" s="257"/>
      <c r="H390" s="257"/>
      <c r="I390" s="257"/>
      <c r="J390" s="257"/>
      <c r="K390" s="257"/>
      <c r="L390" s="257"/>
      <c r="M390" s="257"/>
      <c r="N390" s="257"/>
      <c r="O390" s="257"/>
      <c r="P390" s="257"/>
      <c r="Q390" s="257"/>
      <c r="R390" s="257"/>
      <c r="S390" s="257"/>
      <c r="T390" s="257"/>
      <c r="U390" s="257"/>
      <c r="V390" s="257"/>
      <c r="W390" s="257"/>
      <c r="X390" s="257"/>
      <c r="Y390" s="257"/>
      <c r="Z390" s="257"/>
    </row>
    <row r="391" ht="14.25" customHeight="1">
      <c r="A391" s="257"/>
      <c r="B391" s="257"/>
      <c r="C391" s="257"/>
      <c r="D391" s="257"/>
      <c r="E391" s="257"/>
      <c r="F391" s="257"/>
      <c r="G391" s="257"/>
      <c r="H391" s="257"/>
      <c r="I391" s="257"/>
      <c r="J391" s="257"/>
      <c r="K391" s="257"/>
      <c r="L391" s="257"/>
      <c r="M391" s="257"/>
      <c r="N391" s="257"/>
      <c r="O391" s="257"/>
      <c r="P391" s="257"/>
      <c r="Q391" s="257"/>
      <c r="R391" s="257"/>
      <c r="S391" s="257"/>
      <c r="T391" s="257"/>
      <c r="U391" s="257"/>
      <c r="V391" s="257"/>
      <c r="W391" s="257"/>
      <c r="X391" s="257"/>
      <c r="Y391" s="257"/>
      <c r="Z391" s="257"/>
    </row>
    <row r="392" ht="14.25" customHeight="1">
      <c r="A392" s="257"/>
      <c r="B392" s="257"/>
      <c r="C392" s="257"/>
      <c r="D392" s="257"/>
      <c r="E392" s="257"/>
      <c r="F392" s="257"/>
      <c r="G392" s="257"/>
      <c r="H392" s="257"/>
      <c r="I392" s="257"/>
      <c r="J392" s="257"/>
      <c r="K392" s="257"/>
      <c r="L392" s="257"/>
      <c r="M392" s="257"/>
      <c r="N392" s="257"/>
      <c r="O392" s="257"/>
      <c r="P392" s="257"/>
      <c r="Q392" s="257"/>
      <c r="R392" s="257"/>
      <c r="S392" s="257"/>
      <c r="T392" s="257"/>
      <c r="U392" s="257"/>
      <c r="V392" s="257"/>
      <c r="W392" s="257"/>
      <c r="X392" s="257"/>
      <c r="Y392" s="257"/>
      <c r="Z392" s="257"/>
    </row>
    <row r="393" ht="14.25" customHeight="1">
      <c r="A393" s="257"/>
      <c r="B393" s="257"/>
      <c r="C393" s="257"/>
      <c r="D393" s="257"/>
      <c r="E393" s="257"/>
      <c r="F393" s="257"/>
      <c r="G393" s="257"/>
      <c r="H393" s="257"/>
      <c r="I393" s="257"/>
      <c r="J393" s="257"/>
      <c r="K393" s="257"/>
      <c r="L393" s="257"/>
      <c r="M393" s="257"/>
      <c r="N393" s="257"/>
      <c r="O393" s="257"/>
      <c r="P393" s="257"/>
      <c r="Q393" s="257"/>
      <c r="R393" s="257"/>
      <c r="S393" s="257"/>
      <c r="T393" s="257"/>
      <c r="U393" s="257"/>
      <c r="V393" s="257"/>
      <c r="W393" s="257"/>
      <c r="X393" s="257"/>
      <c r="Y393" s="257"/>
      <c r="Z393" s="257"/>
    </row>
    <row r="394" ht="14.25" customHeight="1">
      <c r="A394" s="257"/>
      <c r="B394" s="257"/>
      <c r="C394" s="257"/>
      <c r="D394" s="257"/>
      <c r="E394" s="257"/>
      <c r="F394" s="257"/>
      <c r="G394" s="257"/>
      <c r="H394" s="257"/>
      <c r="I394" s="257"/>
      <c r="J394" s="257"/>
      <c r="K394" s="257"/>
      <c r="L394" s="257"/>
      <c r="M394" s="257"/>
      <c r="N394" s="257"/>
      <c r="O394" s="257"/>
      <c r="P394" s="257"/>
      <c r="Q394" s="257"/>
      <c r="R394" s="257"/>
      <c r="S394" s="257"/>
      <c r="T394" s="257"/>
      <c r="U394" s="257"/>
      <c r="V394" s="257"/>
      <c r="W394" s="257"/>
      <c r="X394" s="257"/>
      <c r="Y394" s="257"/>
      <c r="Z394" s="257"/>
    </row>
    <row r="395" ht="14.25" customHeight="1">
      <c r="A395" s="257"/>
      <c r="B395" s="257"/>
      <c r="C395" s="257"/>
      <c r="D395" s="257"/>
      <c r="E395" s="257"/>
      <c r="F395" s="257"/>
      <c r="G395" s="257"/>
      <c r="H395" s="257"/>
      <c r="I395" s="257"/>
      <c r="J395" s="257"/>
      <c r="K395" s="257"/>
      <c r="L395" s="257"/>
      <c r="M395" s="257"/>
      <c r="N395" s="257"/>
      <c r="O395" s="257"/>
      <c r="P395" s="257"/>
      <c r="Q395" s="257"/>
      <c r="R395" s="257"/>
      <c r="S395" s="257"/>
      <c r="T395" s="257"/>
      <c r="U395" s="257"/>
      <c r="V395" s="257"/>
      <c r="W395" s="257"/>
      <c r="X395" s="257"/>
      <c r="Y395" s="257"/>
      <c r="Z395" s="257"/>
    </row>
    <row r="396" ht="14.25" customHeight="1">
      <c r="A396" s="257"/>
      <c r="B396" s="257"/>
      <c r="C396" s="257"/>
      <c r="D396" s="257"/>
      <c r="E396" s="257"/>
      <c r="F396" s="257"/>
      <c r="G396" s="257"/>
      <c r="H396" s="257"/>
      <c r="I396" s="257"/>
      <c r="J396" s="257"/>
      <c r="K396" s="257"/>
      <c r="L396" s="257"/>
      <c r="M396" s="257"/>
      <c r="N396" s="257"/>
      <c r="O396" s="257"/>
      <c r="P396" s="257"/>
      <c r="Q396" s="257"/>
      <c r="R396" s="257"/>
      <c r="S396" s="257"/>
      <c r="T396" s="257"/>
      <c r="U396" s="257"/>
      <c r="V396" s="257"/>
      <c r="W396" s="257"/>
      <c r="X396" s="257"/>
      <c r="Y396" s="257"/>
      <c r="Z396" s="257"/>
    </row>
    <row r="397" ht="14.25" customHeight="1">
      <c r="A397" s="257"/>
      <c r="B397" s="257"/>
      <c r="C397" s="257"/>
      <c r="D397" s="257"/>
      <c r="E397" s="257"/>
      <c r="F397" s="257"/>
      <c r="G397" s="257"/>
      <c r="H397" s="257"/>
      <c r="I397" s="257"/>
      <c r="J397" s="257"/>
      <c r="K397" s="257"/>
      <c r="L397" s="257"/>
      <c r="M397" s="257"/>
      <c r="N397" s="257"/>
      <c r="O397" s="257"/>
      <c r="P397" s="257"/>
      <c r="Q397" s="257"/>
      <c r="R397" s="257"/>
      <c r="S397" s="257"/>
      <c r="T397" s="257"/>
      <c r="U397" s="257"/>
      <c r="V397" s="257"/>
      <c r="W397" s="257"/>
      <c r="X397" s="257"/>
      <c r="Y397" s="257"/>
      <c r="Z397" s="257"/>
    </row>
    <row r="398" ht="14.25" customHeight="1">
      <c r="A398" s="257"/>
      <c r="B398" s="257"/>
      <c r="C398" s="257"/>
      <c r="D398" s="257"/>
      <c r="E398" s="257"/>
      <c r="F398" s="257"/>
      <c r="G398" s="257"/>
      <c r="H398" s="257"/>
      <c r="I398" s="257"/>
      <c r="J398" s="257"/>
      <c r="K398" s="257"/>
      <c r="L398" s="257"/>
      <c r="M398" s="257"/>
      <c r="N398" s="257"/>
      <c r="O398" s="257"/>
      <c r="P398" s="257"/>
      <c r="Q398" s="257"/>
      <c r="R398" s="257"/>
      <c r="S398" s="257"/>
      <c r="T398" s="257"/>
      <c r="U398" s="257"/>
      <c r="V398" s="257"/>
      <c r="W398" s="257"/>
      <c r="X398" s="257"/>
      <c r="Y398" s="257"/>
      <c r="Z398" s="257"/>
    </row>
    <row r="399" ht="14.25" customHeight="1">
      <c r="A399" s="257"/>
      <c r="B399" s="257"/>
      <c r="C399" s="257"/>
      <c r="D399" s="257"/>
      <c r="E399" s="257"/>
      <c r="F399" s="257"/>
      <c r="G399" s="257"/>
      <c r="H399" s="257"/>
      <c r="I399" s="257"/>
      <c r="J399" s="257"/>
      <c r="K399" s="257"/>
      <c r="L399" s="257"/>
      <c r="M399" s="257"/>
      <c r="N399" s="257"/>
      <c r="O399" s="257"/>
      <c r="P399" s="257"/>
      <c r="Q399" s="257"/>
      <c r="R399" s="257"/>
      <c r="S399" s="257"/>
      <c r="T399" s="257"/>
      <c r="U399" s="257"/>
      <c r="V399" s="257"/>
      <c r="W399" s="257"/>
      <c r="X399" s="257"/>
      <c r="Y399" s="257"/>
      <c r="Z399" s="257"/>
    </row>
    <row r="400" ht="14.25" customHeight="1">
      <c r="A400" s="257"/>
      <c r="B400" s="257"/>
      <c r="C400" s="257"/>
      <c r="D400" s="257"/>
      <c r="E400" s="257"/>
      <c r="F400" s="257"/>
      <c r="G400" s="257"/>
      <c r="H400" s="257"/>
      <c r="I400" s="257"/>
      <c r="J400" s="257"/>
      <c r="K400" s="257"/>
      <c r="L400" s="257"/>
      <c r="M400" s="257"/>
      <c r="N400" s="257"/>
      <c r="O400" s="257"/>
      <c r="P400" s="257"/>
      <c r="Q400" s="257"/>
      <c r="R400" s="257"/>
      <c r="S400" s="257"/>
      <c r="T400" s="257"/>
      <c r="U400" s="257"/>
      <c r="V400" s="257"/>
      <c r="W400" s="257"/>
      <c r="X400" s="257"/>
      <c r="Y400" s="257"/>
      <c r="Z400" s="257"/>
    </row>
    <row r="401" ht="14.25" customHeight="1">
      <c r="A401" s="257"/>
      <c r="B401" s="257"/>
      <c r="C401" s="257"/>
      <c r="D401" s="257"/>
      <c r="E401" s="257"/>
      <c r="F401" s="257"/>
      <c r="G401" s="257"/>
      <c r="H401" s="257"/>
      <c r="I401" s="257"/>
      <c r="J401" s="257"/>
      <c r="K401" s="257"/>
      <c r="L401" s="257"/>
      <c r="M401" s="257"/>
      <c r="N401" s="257"/>
      <c r="O401" s="257"/>
      <c r="P401" s="257"/>
      <c r="Q401" s="257"/>
      <c r="R401" s="257"/>
      <c r="S401" s="257"/>
      <c r="T401" s="257"/>
      <c r="U401" s="257"/>
      <c r="V401" s="257"/>
      <c r="W401" s="257"/>
      <c r="X401" s="257"/>
      <c r="Y401" s="257"/>
      <c r="Z401" s="257"/>
    </row>
    <row r="402" ht="14.25" customHeight="1">
      <c r="A402" s="257"/>
      <c r="B402" s="257"/>
      <c r="C402" s="257"/>
      <c r="D402" s="257"/>
      <c r="E402" s="257"/>
      <c r="F402" s="257"/>
      <c r="G402" s="257"/>
      <c r="H402" s="257"/>
      <c r="I402" s="257"/>
      <c r="J402" s="257"/>
      <c r="K402" s="257"/>
      <c r="L402" s="257"/>
      <c r="M402" s="257"/>
      <c r="N402" s="257"/>
      <c r="O402" s="257"/>
      <c r="P402" s="257"/>
      <c r="Q402" s="257"/>
      <c r="R402" s="257"/>
      <c r="S402" s="257"/>
      <c r="T402" s="257"/>
      <c r="U402" s="257"/>
      <c r="V402" s="257"/>
      <c r="W402" s="257"/>
      <c r="X402" s="257"/>
      <c r="Y402" s="257"/>
      <c r="Z402" s="257"/>
    </row>
    <row r="403" ht="14.25" customHeight="1">
      <c r="A403" s="257"/>
      <c r="B403" s="257"/>
      <c r="C403" s="257"/>
      <c r="D403" s="257"/>
      <c r="E403" s="257"/>
      <c r="F403" s="257"/>
      <c r="G403" s="257"/>
      <c r="H403" s="257"/>
      <c r="I403" s="257"/>
      <c r="J403" s="257"/>
      <c r="K403" s="257"/>
      <c r="L403" s="257"/>
      <c r="M403" s="257"/>
      <c r="N403" s="257"/>
      <c r="O403" s="257"/>
      <c r="P403" s="257"/>
      <c r="Q403" s="257"/>
      <c r="R403" s="257"/>
      <c r="S403" s="257"/>
      <c r="T403" s="257"/>
      <c r="U403" s="257"/>
      <c r="V403" s="257"/>
      <c r="W403" s="257"/>
      <c r="X403" s="257"/>
      <c r="Y403" s="257"/>
      <c r="Z403" s="257"/>
    </row>
    <row r="404" ht="14.25" customHeight="1">
      <c r="A404" s="257"/>
      <c r="B404" s="257"/>
      <c r="C404" s="257"/>
      <c r="D404" s="257"/>
      <c r="E404" s="257"/>
      <c r="F404" s="257"/>
      <c r="G404" s="257"/>
      <c r="H404" s="257"/>
      <c r="I404" s="257"/>
      <c r="J404" s="257"/>
      <c r="K404" s="257"/>
      <c r="L404" s="257"/>
      <c r="M404" s="257"/>
      <c r="N404" s="257"/>
      <c r="O404" s="257"/>
      <c r="P404" s="257"/>
      <c r="Q404" s="257"/>
      <c r="R404" s="257"/>
      <c r="S404" s="257"/>
      <c r="T404" s="257"/>
      <c r="U404" s="257"/>
      <c r="V404" s="257"/>
      <c r="W404" s="257"/>
      <c r="X404" s="257"/>
      <c r="Y404" s="257"/>
      <c r="Z404" s="257"/>
    </row>
    <row r="405" ht="14.25" customHeight="1">
      <c r="A405" s="257"/>
      <c r="B405" s="257"/>
      <c r="C405" s="257"/>
      <c r="D405" s="257"/>
      <c r="E405" s="257"/>
      <c r="F405" s="257"/>
      <c r="G405" s="257"/>
      <c r="H405" s="257"/>
      <c r="I405" s="257"/>
      <c r="J405" s="257"/>
      <c r="K405" s="257"/>
      <c r="L405" s="257"/>
      <c r="M405" s="257"/>
      <c r="N405" s="257"/>
      <c r="O405" s="257"/>
      <c r="P405" s="257"/>
      <c r="Q405" s="257"/>
      <c r="R405" s="257"/>
      <c r="S405" s="257"/>
      <c r="T405" s="257"/>
      <c r="U405" s="257"/>
      <c r="V405" s="257"/>
      <c r="W405" s="257"/>
      <c r="X405" s="257"/>
      <c r="Y405" s="257"/>
      <c r="Z405" s="257"/>
    </row>
    <row r="406" ht="14.25" customHeight="1">
      <c r="A406" s="257"/>
      <c r="B406" s="257"/>
      <c r="C406" s="257"/>
      <c r="D406" s="257"/>
      <c r="E406" s="257"/>
      <c r="F406" s="257"/>
      <c r="G406" s="257"/>
      <c r="H406" s="257"/>
      <c r="I406" s="257"/>
      <c r="J406" s="257"/>
      <c r="K406" s="257"/>
      <c r="L406" s="257"/>
      <c r="M406" s="257"/>
      <c r="N406" s="257"/>
      <c r="O406" s="257"/>
      <c r="P406" s="257"/>
      <c r="Q406" s="257"/>
      <c r="R406" s="257"/>
      <c r="S406" s="257"/>
      <c r="T406" s="257"/>
      <c r="U406" s="257"/>
      <c r="V406" s="257"/>
      <c r="W406" s="257"/>
      <c r="X406" s="257"/>
      <c r="Y406" s="257"/>
      <c r="Z406" s="257"/>
    </row>
    <row r="407" ht="14.25" customHeight="1">
      <c r="A407" s="257"/>
      <c r="B407" s="257"/>
      <c r="C407" s="257"/>
      <c r="D407" s="257"/>
      <c r="E407" s="257"/>
      <c r="F407" s="257"/>
      <c r="G407" s="257"/>
      <c r="H407" s="257"/>
      <c r="I407" s="257"/>
      <c r="J407" s="257"/>
      <c r="K407" s="257"/>
      <c r="L407" s="257"/>
      <c r="M407" s="257"/>
      <c r="N407" s="257"/>
      <c r="O407" s="257"/>
      <c r="P407" s="257"/>
      <c r="Q407" s="257"/>
      <c r="R407" s="257"/>
      <c r="S407" s="257"/>
      <c r="T407" s="257"/>
      <c r="U407" s="257"/>
      <c r="V407" s="257"/>
      <c r="W407" s="257"/>
      <c r="X407" s="257"/>
      <c r="Y407" s="257"/>
      <c r="Z407" s="257"/>
    </row>
    <row r="408" ht="14.25" customHeight="1">
      <c r="A408" s="257"/>
      <c r="B408" s="257"/>
      <c r="C408" s="257"/>
      <c r="D408" s="257"/>
      <c r="E408" s="257"/>
      <c r="F408" s="257"/>
      <c r="G408" s="257"/>
      <c r="H408" s="257"/>
      <c r="I408" s="257"/>
      <c r="J408" s="257"/>
      <c r="K408" s="257"/>
      <c r="L408" s="257"/>
      <c r="M408" s="257"/>
      <c r="N408" s="257"/>
      <c r="O408" s="257"/>
      <c r="P408" s="257"/>
      <c r="Q408" s="257"/>
      <c r="R408" s="257"/>
      <c r="S408" s="257"/>
      <c r="T408" s="257"/>
      <c r="U408" s="257"/>
      <c r="V408" s="257"/>
      <c r="W408" s="257"/>
      <c r="X408" s="257"/>
      <c r="Y408" s="257"/>
      <c r="Z408" s="257"/>
    </row>
    <row r="409" ht="14.25" customHeight="1">
      <c r="A409" s="257"/>
      <c r="B409" s="257"/>
      <c r="C409" s="257"/>
      <c r="D409" s="257"/>
      <c r="E409" s="257"/>
      <c r="F409" s="257"/>
      <c r="G409" s="257"/>
      <c r="H409" s="257"/>
      <c r="I409" s="257"/>
      <c r="J409" s="257"/>
      <c r="K409" s="257"/>
      <c r="L409" s="257"/>
      <c r="M409" s="257"/>
      <c r="N409" s="257"/>
      <c r="O409" s="257"/>
      <c r="P409" s="257"/>
      <c r="Q409" s="257"/>
      <c r="R409" s="257"/>
      <c r="S409" s="257"/>
      <c r="T409" s="257"/>
      <c r="U409" s="257"/>
      <c r="V409" s="257"/>
      <c r="W409" s="257"/>
      <c r="X409" s="257"/>
      <c r="Y409" s="257"/>
      <c r="Z409" s="257"/>
    </row>
    <row r="410" ht="14.25" customHeight="1">
      <c r="A410" s="257"/>
      <c r="B410" s="257"/>
      <c r="C410" s="257"/>
      <c r="D410" s="257"/>
      <c r="E410" s="257"/>
      <c r="F410" s="257"/>
      <c r="G410" s="257"/>
      <c r="H410" s="257"/>
      <c r="I410" s="257"/>
      <c r="J410" s="257"/>
      <c r="K410" s="257"/>
      <c r="L410" s="257"/>
      <c r="M410" s="257"/>
      <c r="N410" s="257"/>
      <c r="O410" s="257"/>
      <c r="P410" s="257"/>
      <c r="Q410" s="257"/>
      <c r="R410" s="257"/>
      <c r="S410" s="257"/>
      <c r="T410" s="257"/>
      <c r="U410" s="257"/>
      <c r="V410" s="257"/>
      <c r="W410" s="257"/>
      <c r="X410" s="257"/>
      <c r="Y410" s="257"/>
      <c r="Z410" s="257"/>
    </row>
    <row r="411" ht="14.25" customHeight="1">
      <c r="A411" s="257"/>
      <c r="B411" s="257"/>
      <c r="C411" s="257"/>
      <c r="D411" s="257"/>
      <c r="E411" s="257"/>
      <c r="F411" s="257"/>
      <c r="G411" s="257"/>
      <c r="H411" s="257"/>
      <c r="I411" s="257"/>
      <c r="J411" s="257"/>
      <c r="K411" s="257"/>
      <c r="L411" s="257"/>
      <c r="M411" s="257"/>
      <c r="N411" s="257"/>
      <c r="O411" s="257"/>
      <c r="P411" s="257"/>
      <c r="Q411" s="257"/>
      <c r="R411" s="257"/>
      <c r="S411" s="257"/>
      <c r="T411" s="257"/>
      <c r="U411" s="257"/>
      <c r="V411" s="257"/>
      <c r="W411" s="257"/>
      <c r="X411" s="257"/>
      <c r="Y411" s="257"/>
      <c r="Z411" s="257"/>
    </row>
    <row r="412" ht="14.25" customHeight="1">
      <c r="A412" s="257"/>
      <c r="B412" s="257"/>
      <c r="C412" s="257"/>
      <c r="D412" s="257"/>
      <c r="E412" s="257"/>
      <c r="F412" s="257"/>
      <c r="G412" s="257"/>
      <c r="H412" s="257"/>
      <c r="I412" s="257"/>
      <c r="J412" s="257"/>
      <c r="K412" s="257"/>
      <c r="L412" s="257"/>
      <c r="M412" s="257"/>
      <c r="N412" s="257"/>
      <c r="O412" s="257"/>
      <c r="P412" s="257"/>
      <c r="Q412" s="257"/>
      <c r="R412" s="257"/>
      <c r="S412" s="257"/>
      <c r="T412" s="257"/>
      <c r="U412" s="257"/>
      <c r="V412" s="257"/>
      <c r="W412" s="257"/>
      <c r="X412" s="257"/>
      <c r="Y412" s="257"/>
      <c r="Z412" s="257"/>
    </row>
    <row r="413" ht="14.25" customHeight="1">
      <c r="A413" s="257"/>
      <c r="B413" s="257"/>
      <c r="C413" s="257"/>
      <c r="D413" s="257"/>
      <c r="E413" s="257"/>
      <c r="F413" s="257"/>
      <c r="G413" s="257"/>
      <c r="H413" s="257"/>
      <c r="I413" s="257"/>
      <c r="J413" s="257"/>
      <c r="K413" s="257"/>
      <c r="L413" s="257"/>
      <c r="M413" s="257"/>
      <c r="N413" s="257"/>
      <c r="O413" s="257"/>
      <c r="P413" s="257"/>
      <c r="Q413" s="257"/>
      <c r="R413" s="257"/>
      <c r="S413" s="257"/>
      <c r="T413" s="257"/>
      <c r="U413" s="257"/>
      <c r="V413" s="257"/>
      <c r="W413" s="257"/>
      <c r="X413" s="257"/>
      <c r="Y413" s="257"/>
      <c r="Z413" s="257"/>
    </row>
    <row r="414" ht="14.25" customHeight="1">
      <c r="A414" s="257"/>
      <c r="B414" s="257"/>
      <c r="C414" s="257"/>
      <c r="D414" s="257"/>
      <c r="E414" s="257"/>
      <c r="F414" s="257"/>
      <c r="G414" s="257"/>
      <c r="H414" s="257"/>
      <c r="I414" s="257"/>
      <c r="J414" s="257"/>
      <c r="K414" s="257"/>
      <c r="L414" s="257"/>
      <c r="M414" s="257"/>
      <c r="N414" s="257"/>
      <c r="O414" s="257"/>
      <c r="P414" s="257"/>
      <c r="Q414" s="257"/>
      <c r="R414" s="257"/>
      <c r="S414" s="257"/>
      <c r="T414" s="257"/>
      <c r="U414" s="257"/>
      <c r="V414" s="257"/>
      <c r="W414" s="257"/>
      <c r="X414" s="257"/>
      <c r="Y414" s="257"/>
      <c r="Z414" s="257"/>
    </row>
    <row r="415" ht="14.25" customHeight="1">
      <c r="A415" s="257"/>
      <c r="B415" s="257"/>
      <c r="C415" s="257"/>
      <c r="D415" s="257"/>
      <c r="E415" s="257"/>
      <c r="F415" s="257"/>
      <c r="G415" s="257"/>
      <c r="H415" s="257"/>
      <c r="I415" s="257"/>
      <c r="J415" s="257"/>
      <c r="K415" s="257"/>
      <c r="L415" s="257"/>
      <c r="M415" s="257"/>
      <c r="N415" s="257"/>
      <c r="O415" s="257"/>
      <c r="P415" s="257"/>
      <c r="Q415" s="257"/>
      <c r="R415" s="257"/>
      <c r="S415" s="257"/>
      <c r="T415" s="257"/>
      <c r="U415" s="257"/>
      <c r="V415" s="257"/>
      <c r="W415" s="257"/>
      <c r="X415" s="257"/>
      <c r="Y415" s="257"/>
      <c r="Z415" s="257"/>
    </row>
    <row r="416" ht="14.25" customHeight="1">
      <c r="A416" s="257"/>
      <c r="B416" s="257"/>
      <c r="C416" s="257"/>
      <c r="D416" s="257"/>
      <c r="E416" s="257"/>
      <c r="F416" s="257"/>
      <c r="G416" s="257"/>
      <c r="H416" s="257"/>
      <c r="I416" s="257"/>
      <c r="J416" s="257"/>
      <c r="K416" s="257"/>
      <c r="L416" s="257"/>
      <c r="M416" s="257"/>
      <c r="N416" s="257"/>
      <c r="O416" s="257"/>
      <c r="P416" s="257"/>
      <c r="Q416" s="257"/>
      <c r="R416" s="257"/>
      <c r="S416" s="257"/>
      <c r="T416" s="257"/>
      <c r="U416" s="257"/>
      <c r="V416" s="257"/>
      <c r="W416" s="257"/>
      <c r="X416" s="257"/>
      <c r="Y416" s="257"/>
      <c r="Z416" s="257"/>
    </row>
    <row r="417" ht="14.25" customHeight="1">
      <c r="A417" s="257"/>
      <c r="B417" s="257"/>
      <c r="C417" s="257"/>
      <c r="D417" s="257"/>
      <c r="E417" s="257"/>
      <c r="F417" s="257"/>
      <c r="G417" s="257"/>
      <c r="H417" s="257"/>
      <c r="I417" s="257"/>
      <c r="J417" s="257"/>
      <c r="K417" s="257"/>
      <c r="L417" s="257"/>
      <c r="M417" s="257"/>
      <c r="N417" s="257"/>
      <c r="O417" s="257"/>
      <c r="P417" s="257"/>
      <c r="Q417" s="257"/>
      <c r="R417" s="257"/>
      <c r="S417" s="257"/>
      <c r="T417" s="257"/>
      <c r="U417" s="257"/>
      <c r="V417" s="257"/>
      <c r="W417" s="257"/>
      <c r="X417" s="257"/>
      <c r="Y417" s="257"/>
      <c r="Z417" s="257"/>
    </row>
    <row r="418" ht="14.25" customHeight="1">
      <c r="A418" s="257"/>
      <c r="B418" s="257"/>
      <c r="C418" s="257"/>
      <c r="D418" s="257"/>
      <c r="E418" s="257"/>
      <c r="F418" s="257"/>
      <c r="G418" s="257"/>
      <c r="H418" s="257"/>
      <c r="I418" s="257"/>
      <c r="J418" s="257"/>
      <c r="K418" s="257"/>
      <c r="L418" s="257"/>
      <c r="M418" s="257"/>
      <c r="N418" s="257"/>
      <c r="O418" s="257"/>
      <c r="P418" s="257"/>
      <c r="Q418" s="257"/>
      <c r="R418" s="257"/>
      <c r="S418" s="257"/>
      <c r="T418" s="257"/>
      <c r="U418" s="257"/>
      <c r="V418" s="257"/>
      <c r="W418" s="257"/>
      <c r="X418" s="257"/>
      <c r="Y418" s="257"/>
      <c r="Z418" s="257"/>
    </row>
    <row r="419" ht="14.25" customHeight="1">
      <c r="A419" s="257"/>
      <c r="B419" s="257"/>
      <c r="C419" s="257"/>
      <c r="D419" s="257"/>
      <c r="E419" s="257"/>
      <c r="F419" s="257"/>
      <c r="G419" s="257"/>
      <c r="H419" s="257"/>
      <c r="I419" s="257"/>
      <c r="J419" s="257"/>
      <c r="K419" s="257"/>
      <c r="L419" s="257"/>
      <c r="M419" s="257"/>
      <c r="N419" s="257"/>
      <c r="O419" s="257"/>
      <c r="P419" s="257"/>
      <c r="Q419" s="257"/>
      <c r="R419" s="257"/>
      <c r="S419" s="257"/>
      <c r="T419" s="257"/>
      <c r="U419" s="257"/>
      <c r="V419" s="257"/>
      <c r="W419" s="257"/>
      <c r="X419" s="257"/>
      <c r="Y419" s="257"/>
      <c r="Z419" s="257"/>
    </row>
    <row r="420" ht="14.25" customHeight="1">
      <c r="A420" s="257"/>
      <c r="B420" s="257"/>
      <c r="C420" s="257"/>
      <c r="D420" s="257"/>
      <c r="E420" s="257"/>
      <c r="F420" s="257"/>
      <c r="G420" s="257"/>
      <c r="H420" s="257"/>
      <c r="I420" s="257"/>
      <c r="J420" s="257"/>
      <c r="K420" s="257"/>
      <c r="L420" s="257"/>
      <c r="M420" s="257"/>
      <c r="N420" s="257"/>
      <c r="O420" s="257"/>
      <c r="P420" s="257"/>
      <c r="Q420" s="257"/>
      <c r="R420" s="257"/>
      <c r="S420" s="257"/>
      <c r="T420" s="257"/>
      <c r="U420" s="257"/>
      <c r="V420" s="257"/>
      <c r="W420" s="257"/>
      <c r="X420" s="257"/>
      <c r="Y420" s="257"/>
      <c r="Z420" s="257"/>
    </row>
    <row r="421" ht="14.25" customHeight="1">
      <c r="A421" s="257"/>
      <c r="B421" s="257"/>
      <c r="C421" s="257"/>
      <c r="D421" s="257"/>
      <c r="E421" s="257"/>
      <c r="F421" s="257"/>
      <c r="G421" s="257"/>
      <c r="H421" s="257"/>
      <c r="I421" s="257"/>
      <c r="J421" s="257"/>
      <c r="K421" s="257"/>
      <c r="L421" s="257"/>
      <c r="M421" s="257"/>
      <c r="N421" s="257"/>
      <c r="O421" s="257"/>
      <c r="P421" s="257"/>
      <c r="Q421" s="257"/>
      <c r="R421" s="257"/>
      <c r="S421" s="257"/>
      <c r="T421" s="257"/>
      <c r="U421" s="257"/>
      <c r="V421" s="257"/>
      <c r="W421" s="257"/>
      <c r="X421" s="257"/>
      <c r="Y421" s="257"/>
      <c r="Z421" s="257"/>
    </row>
    <row r="422" ht="14.25" customHeight="1">
      <c r="A422" s="257"/>
      <c r="B422" s="257"/>
      <c r="C422" s="257"/>
      <c r="D422" s="257"/>
      <c r="E422" s="257"/>
      <c r="F422" s="257"/>
      <c r="G422" s="257"/>
      <c r="H422" s="257"/>
      <c r="I422" s="257"/>
      <c r="J422" s="257"/>
      <c r="K422" s="257"/>
      <c r="L422" s="257"/>
      <c r="M422" s="257"/>
      <c r="N422" s="257"/>
      <c r="O422" s="257"/>
      <c r="P422" s="257"/>
      <c r="Q422" s="257"/>
      <c r="R422" s="257"/>
      <c r="S422" s="257"/>
      <c r="T422" s="257"/>
      <c r="U422" s="257"/>
      <c r="V422" s="257"/>
      <c r="W422" s="257"/>
      <c r="X422" s="257"/>
      <c r="Y422" s="257"/>
      <c r="Z422" s="257"/>
    </row>
    <row r="423" ht="14.25" customHeight="1">
      <c r="A423" s="257"/>
      <c r="B423" s="257"/>
      <c r="C423" s="257"/>
      <c r="D423" s="257"/>
      <c r="E423" s="257"/>
      <c r="F423" s="257"/>
      <c r="G423" s="257"/>
      <c r="H423" s="257"/>
      <c r="I423" s="257"/>
      <c r="J423" s="257"/>
      <c r="K423" s="257"/>
      <c r="L423" s="257"/>
      <c r="M423" s="257"/>
      <c r="N423" s="257"/>
      <c r="O423" s="257"/>
      <c r="P423" s="257"/>
      <c r="Q423" s="257"/>
      <c r="R423" s="257"/>
      <c r="S423" s="257"/>
      <c r="T423" s="257"/>
      <c r="U423" s="257"/>
      <c r="V423" s="257"/>
      <c r="W423" s="257"/>
      <c r="X423" s="257"/>
      <c r="Y423" s="257"/>
      <c r="Z423" s="257"/>
    </row>
    <row r="424" ht="14.25" customHeight="1">
      <c r="A424" s="257"/>
      <c r="B424" s="257"/>
      <c r="C424" s="257"/>
      <c r="D424" s="257"/>
      <c r="E424" s="257"/>
      <c r="F424" s="257"/>
      <c r="G424" s="257"/>
      <c r="H424" s="257"/>
      <c r="I424" s="257"/>
      <c r="J424" s="257"/>
      <c r="K424" s="257"/>
      <c r="L424" s="257"/>
      <c r="M424" s="257"/>
      <c r="N424" s="257"/>
      <c r="O424" s="257"/>
      <c r="P424" s="257"/>
      <c r="Q424" s="257"/>
      <c r="R424" s="257"/>
      <c r="S424" s="257"/>
      <c r="T424" s="257"/>
      <c r="U424" s="257"/>
      <c r="V424" s="257"/>
      <c r="W424" s="257"/>
      <c r="X424" s="257"/>
      <c r="Y424" s="257"/>
      <c r="Z424" s="257"/>
    </row>
    <row r="425" ht="14.25" customHeight="1">
      <c r="A425" s="257"/>
      <c r="B425" s="25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257"/>
      <c r="N425" s="257"/>
      <c r="O425" s="257"/>
      <c r="P425" s="257"/>
      <c r="Q425" s="257"/>
      <c r="R425" s="257"/>
      <c r="S425" s="257"/>
      <c r="T425" s="257"/>
      <c r="U425" s="257"/>
      <c r="V425" s="257"/>
      <c r="W425" s="257"/>
      <c r="X425" s="257"/>
      <c r="Y425" s="257"/>
      <c r="Z425" s="257"/>
    </row>
    <row r="426" ht="14.25" customHeight="1">
      <c r="A426" s="257"/>
      <c r="B426" s="257"/>
      <c r="C426" s="257"/>
      <c r="D426" s="257"/>
      <c r="E426" s="257"/>
      <c r="F426" s="257"/>
      <c r="G426" s="257"/>
      <c r="H426" s="257"/>
      <c r="I426" s="257"/>
      <c r="J426" s="257"/>
      <c r="K426" s="257"/>
      <c r="L426" s="257"/>
      <c r="M426" s="257"/>
      <c r="N426" s="257"/>
      <c r="O426" s="257"/>
      <c r="P426" s="257"/>
      <c r="Q426" s="257"/>
      <c r="R426" s="257"/>
      <c r="S426" s="257"/>
      <c r="T426" s="257"/>
      <c r="U426" s="257"/>
      <c r="V426" s="257"/>
      <c r="W426" s="257"/>
      <c r="X426" s="257"/>
      <c r="Y426" s="257"/>
      <c r="Z426" s="257"/>
    </row>
    <row r="427" ht="14.25" customHeight="1">
      <c r="A427" s="257"/>
      <c r="B427" s="257"/>
      <c r="C427" s="257"/>
      <c r="D427" s="257"/>
      <c r="E427" s="257"/>
      <c r="F427" s="257"/>
      <c r="G427" s="257"/>
      <c r="H427" s="257"/>
      <c r="I427" s="257"/>
      <c r="J427" s="257"/>
      <c r="K427" s="257"/>
      <c r="L427" s="257"/>
      <c r="M427" s="257"/>
      <c r="N427" s="257"/>
      <c r="O427" s="257"/>
      <c r="P427" s="257"/>
      <c r="Q427" s="257"/>
      <c r="R427" s="257"/>
      <c r="S427" s="257"/>
      <c r="T427" s="257"/>
      <c r="U427" s="257"/>
      <c r="V427" s="257"/>
      <c r="W427" s="257"/>
      <c r="X427" s="257"/>
      <c r="Y427" s="257"/>
      <c r="Z427" s="257"/>
    </row>
    <row r="428" ht="14.25" customHeight="1">
      <c r="A428" s="257"/>
      <c r="B428" s="257"/>
      <c r="C428" s="257"/>
      <c r="D428" s="257"/>
      <c r="E428" s="257"/>
      <c r="F428" s="257"/>
      <c r="G428" s="257"/>
      <c r="H428" s="257"/>
      <c r="I428" s="257"/>
      <c r="J428" s="257"/>
      <c r="K428" s="257"/>
      <c r="L428" s="257"/>
      <c r="M428" s="257"/>
      <c r="N428" s="257"/>
      <c r="O428" s="257"/>
      <c r="P428" s="257"/>
      <c r="Q428" s="257"/>
      <c r="R428" s="257"/>
      <c r="S428" s="257"/>
      <c r="T428" s="257"/>
      <c r="U428" s="257"/>
      <c r="V428" s="257"/>
      <c r="W428" s="257"/>
      <c r="X428" s="257"/>
      <c r="Y428" s="257"/>
      <c r="Z428" s="257"/>
    </row>
    <row r="429" ht="14.25" customHeight="1">
      <c r="A429" s="257"/>
      <c r="B429" s="257"/>
      <c r="C429" s="257"/>
      <c r="D429" s="257"/>
      <c r="E429" s="257"/>
      <c r="F429" s="257"/>
      <c r="G429" s="257"/>
      <c r="H429" s="257"/>
      <c r="I429" s="257"/>
      <c r="J429" s="257"/>
      <c r="K429" s="257"/>
      <c r="L429" s="257"/>
      <c r="M429" s="257"/>
      <c r="N429" s="257"/>
      <c r="O429" s="257"/>
      <c r="P429" s="257"/>
      <c r="Q429" s="257"/>
      <c r="R429" s="257"/>
      <c r="S429" s="257"/>
      <c r="T429" s="257"/>
      <c r="U429" s="257"/>
      <c r="V429" s="257"/>
      <c r="W429" s="257"/>
      <c r="X429" s="257"/>
      <c r="Y429" s="257"/>
      <c r="Z429" s="257"/>
    </row>
    <row r="430" ht="14.25" customHeight="1">
      <c r="A430" s="257"/>
      <c r="B430" s="257"/>
      <c r="C430" s="257"/>
      <c r="D430" s="257"/>
      <c r="E430" s="257"/>
      <c r="F430" s="257"/>
      <c r="G430" s="257"/>
      <c r="H430" s="257"/>
      <c r="I430" s="257"/>
      <c r="J430" s="257"/>
      <c r="K430" s="257"/>
      <c r="L430" s="257"/>
      <c r="M430" s="257"/>
      <c r="N430" s="257"/>
      <c r="O430" s="257"/>
      <c r="P430" s="257"/>
      <c r="Q430" s="257"/>
      <c r="R430" s="257"/>
      <c r="S430" s="257"/>
      <c r="T430" s="257"/>
      <c r="U430" s="257"/>
      <c r="V430" s="257"/>
      <c r="W430" s="257"/>
      <c r="X430" s="257"/>
      <c r="Y430" s="257"/>
      <c r="Z430" s="257"/>
    </row>
    <row r="431" ht="14.25" customHeight="1">
      <c r="A431" s="257"/>
      <c r="B431" s="257"/>
      <c r="C431" s="257"/>
      <c r="D431" s="257"/>
      <c r="E431" s="257"/>
      <c r="F431" s="257"/>
      <c r="G431" s="257"/>
      <c r="H431" s="257"/>
      <c r="I431" s="257"/>
      <c r="J431" s="257"/>
      <c r="K431" s="257"/>
      <c r="L431" s="257"/>
      <c r="M431" s="257"/>
      <c r="N431" s="257"/>
      <c r="O431" s="257"/>
      <c r="P431" s="257"/>
      <c r="Q431" s="257"/>
      <c r="R431" s="257"/>
      <c r="S431" s="257"/>
      <c r="T431" s="257"/>
      <c r="U431" s="257"/>
      <c r="V431" s="257"/>
      <c r="W431" s="257"/>
      <c r="X431" s="257"/>
      <c r="Y431" s="257"/>
      <c r="Z431" s="257"/>
    </row>
    <row r="432" ht="14.25" customHeight="1">
      <c r="A432" s="257"/>
      <c r="B432" s="257"/>
      <c r="C432" s="257"/>
      <c r="D432" s="257"/>
      <c r="E432" s="257"/>
      <c r="F432" s="257"/>
      <c r="G432" s="257"/>
      <c r="H432" s="257"/>
      <c r="I432" s="257"/>
      <c r="J432" s="257"/>
      <c r="K432" s="257"/>
      <c r="L432" s="257"/>
      <c r="M432" s="257"/>
      <c r="N432" s="257"/>
      <c r="O432" s="257"/>
      <c r="P432" s="257"/>
      <c r="Q432" s="257"/>
      <c r="R432" s="257"/>
      <c r="S432" s="257"/>
      <c r="T432" s="257"/>
      <c r="U432" s="257"/>
      <c r="V432" s="257"/>
      <c r="W432" s="257"/>
      <c r="X432" s="257"/>
      <c r="Y432" s="257"/>
      <c r="Z432" s="257"/>
    </row>
    <row r="433" ht="14.25" customHeight="1">
      <c r="A433" s="257"/>
      <c r="B433" s="257"/>
      <c r="C433" s="257"/>
      <c r="D433" s="257"/>
      <c r="E433" s="257"/>
      <c r="F433" s="257"/>
      <c r="G433" s="257"/>
      <c r="H433" s="257"/>
      <c r="I433" s="257"/>
      <c r="J433" s="257"/>
      <c r="K433" s="257"/>
      <c r="L433" s="257"/>
      <c r="M433" s="257"/>
      <c r="N433" s="257"/>
      <c r="O433" s="257"/>
      <c r="P433" s="257"/>
      <c r="Q433" s="257"/>
      <c r="R433" s="257"/>
      <c r="S433" s="257"/>
      <c r="T433" s="257"/>
      <c r="U433" s="257"/>
      <c r="V433" s="257"/>
      <c r="W433" s="257"/>
      <c r="X433" s="257"/>
      <c r="Y433" s="257"/>
      <c r="Z433" s="257"/>
    </row>
    <row r="434" ht="14.25" customHeight="1">
      <c r="A434" s="257"/>
      <c r="B434" s="257"/>
      <c r="C434" s="257"/>
      <c r="D434" s="257"/>
      <c r="E434" s="257"/>
      <c r="F434" s="257"/>
      <c r="G434" s="257"/>
      <c r="H434" s="257"/>
      <c r="I434" s="257"/>
      <c r="J434" s="257"/>
      <c r="K434" s="257"/>
      <c r="L434" s="257"/>
      <c r="M434" s="257"/>
      <c r="N434" s="257"/>
      <c r="O434" s="257"/>
      <c r="P434" s="257"/>
      <c r="Q434" s="257"/>
      <c r="R434" s="257"/>
      <c r="S434" s="257"/>
      <c r="T434" s="257"/>
      <c r="U434" s="257"/>
      <c r="V434" s="257"/>
      <c r="W434" s="257"/>
      <c r="X434" s="257"/>
      <c r="Y434" s="257"/>
      <c r="Z434" s="257"/>
    </row>
    <row r="435" ht="14.25" customHeight="1">
      <c r="A435" s="257"/>
      <c r="B435" s="257"/>
      <c r="C435" s="257"/>
      <c r="D435" s="257"/>
      <c r="E435" s="257"/>
      <c r="F435" s="257"/>
      <c r="G435" s="257"/>
      <c r="H435" s="257"/>
      <c r="I435" s="257"/>
      <c r="J435" s="257"/>
      <c r="K435" s="257"/>
      <c r="L435" s="257"/>
      <c r="M435" s="257"/>
      <c r="N435" s="257"/>
      <c r="O435" s="257"/>
      <c r="P435" s="257"/>
      <c r="Q435" s="257"/>
      <c r="R435" s="257"/>
      <c r="S435" s="257"/>
      <c r="T435" s="257"/>
      <c r="U435" s="257"/>
      <c r="V435" s="257"/>
      <c r="W435" s="257"/>
      <c r="X435" s="257"/>
      <c r="Y435" s="257"/>
      <c r="Z435" s="257"/>
    </row>
    <row r="436" ht="14.25" customHeight="1">
      <c r="A436" s="257"/>
      <c r="B436" s="257"/>
      <c r="C436" s="257"/>
      <c r="D436" s="257"/>
      <c r="E436" s="257"/>
      <c r="F436" s="257"/>
      <c r="G436" s="257"/>
      <c r="H436" s="257"/>
      <c r="I436" s="257"/>
      <c r="J436" s="257"/>
      <c r="K436" s="257"/>
      <c r="L436" s="257"/>
      <c r="M436" s="257"/>
      <c r="N436" s="257"/>
      <c r="O436" s="257"/>
      <c r="P436" s="257"/>
      <c r="Q436" s="257"/>
      <c r="R436" s="257"/>
      <c r="S436" s="257"/>
      <c r="T436" s="257"/>
      <c r="U436" s="257"/>
      <c r="V436" s="257"/>
      <c r="W436" s="257"/>
      <c r="X436" s="257"/>
      <c r="Y436" s="257"/>
      <c r="Z436" s="257"/>
    </row>
    <row r="437" ht="14.25" customHeight="1">
      <c r="A437" s="257"/>
      <c r="B437" s="257"/>
      <c r="C437" s="257"/>
      <c r="D437" s="257"/>
      <c r="E437" s="257"/>
      <c r="F437" s="257"/>
      <c r="G437" s="257"/>
      <c r="H437" s="257"/>
      <c r="I437" s="257"/>
      <c r="J437" s="257"/>
      <c r="K437" s="257"/>
      <c r="L437" s="257"/>
      <c r="M437" s="257"/>
      <c r="N437" s="257"/>
      <c r="O437" s="257"/>
      <c r="P437" s="257"/>
      <c r="Q437" s="257"/>
      <c r="R437" s="257"/>
      <c r="S437" s="257"/>
      <c r="T437" s="257"/>
      <c r="U437" s="257"/>
      <c r="V437" s="257"/>
      <c r="W437" s="257"/>
      <c r="X437" s="257"/>
      <c r="Y437" s="257"/>
      <c r="Z437" s="257"/>
    </row>
    <row r="438" ht="14.25" customHeight="1">
      <c r="A438" s="257"/>
      <c r="B438" s="257"/>
      <c r="C438" s="257"/>
      <c r="D438" s="257"/>
      <c r="E438" s="257"/>
      <c r="F438" s="257"/>
      <c r="G438" s="257"/>
      <c r="H438" s="257"/>
      <c r="I438" s="257"/>
      <c r="J438" s="257"/>
      <c r="K438" s="257"/>
      <c r="L438" s="257"/>
      <c r="M438" s="257"/>
      <c r="N438" s="257"/>
      <c r="O438" s="257"/>
      <c r="P438" s="257"/>
      <c r="Q438" s="257"/>
      <c r="R438" s="257"/>
      <c r="S438" s="257"/>
      <c r="T438" s="257"/>
      <c r="U438" s="257"/>
      <c r="V438" s="257"/>
      <c r="W438" s="257"/>
      <c r="X438" s="257"/>
      <c r="Y438" s="257"/>
      <c r="Z438" s="257"/>
    </row>
    <row r="439" ht="14.25" customHeight="1">
      <c r="A439" s="257"/>
      <c r="B439" s="257"/>
      <c r="C439" s="257"/>
      <c r="D439" s="257"/>
      <c r="E439" s="257"/>
      <c r="F439" s="257"/>
      <c r="G439" s="257"/>
      <c r="H439" s="257"/>
      <c r="I439" s="257"/>
      <c r="J439" s="257"/>
      <c r="K439" s="257"/>
      <c r="L439" s="257"/>
      <c r="M439" s="257"/>
      <c r="N439" s="257"/>
      <c r="O439" s="257"/>
      <c r="P439" s="257"/>
      <c r="Q439" s="257"/>
      <c r="R439" s="257"/>
      <c r="S439" s="257"/>
      <c r="T439" s="257"/>
      <c r="U439" s="257"/>
      <c r="V439" s="257"/>
      <c r="W439" s="257"/>
      <c r="X439" s="257"/>
      <c r="Y439" s="257"/>
      <c r="Z439" s="257"/>
    </row>
    <row r="440" ht="14.25" customHeight="1">
      <c r="A440" s="257"/>
      <c r="B440" s="25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257"/>
      <c r="Q440" s="257"/>
      <c r="R440" s="257"/>
      <c r="S440" s="257"/>
      <c r="T440" s="257"/>
      <c r="U440" s="257"/>
      <c r="V440" s="257"/>
      <c r="W440" s="257"/>
      <c r="X440" s="257"/>
      <c r="Y440" s="257"/>
      <c r="Z440" s="257"/>
    </row>
    <row r="441" ht="14.25" customHeight="1">
      <c r="A441" s="257"/>
      <c r="B441" s="257"/>
      <c r="C441" s="257"/>
      <c r="D441" s="257"/>
      <c r="E441" s="257"/>
      <c r="F441" s="257"/>
      <c r="G441" s="257"/>
      <c r="H441" s="257"/>
      <c r="I441" s="257"/>
      <c r="J441" s="257"/>
      <c r="K441" s="257"/>
      <c r="L441" s="257"/>
      <c r="M441" s="257"/>
      <c r="N441" s="257"/>
      <c r="O441" s="257"/>
      <c r="P441" s="257"/>
      <c r="Q441" s="257"/>
      <c r="R441" s="257"/>
      <c r="S441" s="257"/>
      <c r="T441" s="257"/>
      <c r="U441" s="257"/>
      <c r="V441" s="257"/>
      <c r="W441" s="257"/>
      <c r="X441" s="257"/>
      <c r="Y441" s="257"/>
      <c r="Z441" s="257"/>
    </row>
    <row r="442" ht="14.25" customHeight="1">
      <c r="A442" s="257"/>
      <c r="B442" s="257"/>
      <c r="C442" s="257"/>
      <c r="D442" s="257"/>
      <c r="E442" s="257"/>
      <c r="F442" s="257"/>
      <c r="G442" s="257"/>
      <c r="H442" s="257"/>
      <c r="I442" s="257"/>
      <c r="J442" s="257"/>
      <c r="K442" s="257"/>
      <c r="L442" s="257"/>
      <c r="M442" s="257"/>
      <c r="N442" s="257"/>
      <c r="O442" s="257"/>
      <c r="P442" s="257"/>
      <c r="Q442" s="257"/>
      <c r="R442" s="257"/>
      <c r="S442" s="257"/>
      <c r="T442" s="257"/>
      <c r="U442" s="257"/>
      <c r="V442" s="257"/>
      <c r="W442" s="257"/>
      <c r="X442" s="257"/>
      <c r="Y442" s="257"/>
      <c r="Z442" s="257"/>
    </row>
    <row r="443" ht="14.25" customHeight="1">
      <c r="A443" s="257"/>
      <c r="B443" s="257"/>
      <c r="C443" s="257"/>
      <c r="D443" s="257"/>
      <c r="E443" s="257"/>
      <c r="F443" s="257"/>
      <c r="G443" s="257"/>
      <c r="H443" s="257"/>
      <c r="I443" s="257"/>
      <c r="J443" s="257"/>
      <c r="K443" s="257"/>
      <c r="L443" s="257"/>
      <c r="M443" s="257"/>
      <c r="N443" s="257"/>
      <c r="O443" s="257"/>
      <c r="P443" s="257"/>
      <c r="Q443" s="257"/>
      <c r="R443" s="257"/>
      <c r="S443" s="257"/>
      <c r="T443" s="257"/>
      <c r="U443" s="257"/>
      <c r="V443" s="257"/>
      <c r="W443" s="257"/>
      <c r="X443" s="257"/>
      <c r="Y443" s="257"/>
      <c r="Z443" s="257"/>
    </row>
    <row r="444" ht="14.25" customHeight="1">
      <c r="A444" s="257"/>
      <c r="B444" s="257"/>
      <c r="C444" s="257"/>
      <c r="D444" s="257"/>
      <c r="E444" s="257"/>
      <c r="F444" s="257"/>
      <c r="G444" s="257"/>
      <c r="H444" s="257"/>
      <c r="I444" s="257"/>
      <c r="J444" s="257"/>
      <c r="K444" s="257"/>
      <c r="L444" s="257"/>
      <c r="M444" s="257"/>
      <c r="N444" s="257"/>
      <c r="O444" s="257"/>
      <c r="P444" s="257"/>
      <c r="Q444" s="257"/>
      <c r="R444" s="257"/>
      <c r="S444" s="257"/>
      <c r="T444" s="257"/>
      <c r="U444" s="257"/>
      <c r="V444" s="257"/>
      <c r="W444" s="257"/>
      <c r="X444" s="257"/>
      <c r="Y444" s="257"/>
      <c r="Z444" s="257"/>
    </row>
    <row r="445" ht="14.25" customHeight="1">
      <c r="A445" s="257"/>
      <c r="B445" s="257"/>
      <c r="C445" s="257"/>
      <c r="D445" s="257"/>
      <c r="E445" s="257"/>
      <c r="F445" s="257"/>
      <c r="G445" s="257"/>
      <c r="H445" s="257"/>
      <c r="I445" s="257"/>
      <c r="J445" s="257"/>
      <c r="K445" s="257"/>
      <c r="L445" s="257"/>
      <c r="M445" s="257"/>
      <c r="N445" s="257"/>
      <c r="O445" s="257"/>
      <c r="P445" s="257"/>
      <c r="Q445" s="257"/>
      <c r="R445" s="257"/>
      <c r="S445" s="257"/>
      <c r="T445" s="257"/>
      <c r="U445" s="257"/>
      <c r="V445" s="257"/>
      <c r="W445" s="257"/>
      <c r="X445" s="257"/>
      <c r="Y445" s="257"/>
      <c r="Z445" s="257"/>
    </row>
    <row r="446" ht="14.25" customHeight="1">
      <c r="A446" s="257"/>
      <c r="B446" s="25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257"/>
      <c r="R446" s="257"/>
      <c r="S446" s="257"/>
      <c r="T446" s="257"/>
      <c r="U446" s="257"/>
      <c r="V446" s="257"/>
      <c r="W446" s="257"/>
      <c r="X446" s="257"/>
      <c r="Y446" s="257"/>
      <c r="Z446" s="257"/>
    </row>
    <row r="447" ht="14.25" customHeight="1">
      <c r="A447" s="257"/>
      <c r="B447" s="257"/>
      <c r="C447" s="257"/>
      <c r="D447" s="257"/>
      <c r="E447" s="257"/>
      <c r="F447" s="257"/>
      <c r="G447" s="257"/>
      <c r="H447" s="257"/>
      <c r="I447" s="257"/>
      <c r="J447" s="257"/>
      <c r="K447" s="257"/>
      <c r="L447" s="257"/>
      <c r="M447" s="257"/>
      <c r="N447" s="257"/>
      <c r="O447" s="257"/>
      <c r="P447" s="257"/>
      <c r="Q447" s="257"/>
      <c r="R447" s="257"/>
      <c r="S447" s="257"/>
      <c r="T447" s="257"/>
      <c r="U447" s="257"/>
      <c r="V447" s="257"/>
      <c r="W447" s="257"/>
      <c r="X447" s="257"/>
      <c r="Y447" s="257"/>
      <c r="Z447" s="257"/>
    </row>
    <row r="448" ht="14.25" customHeight="1">
      <c r="A448" s="257"/>
      <c r="B448" s="257"/>
      <c r="C448" s="257"/>
      <c r="D448" s="257"/>
      <c r="E448" s="257"/>
      <c r="F448" s="257"/>
      <c r="G448" s="257"/>
      <c r="H448" s="257"/>
      <c r="I448" s="257"/>
      <c r="J448" s="257"/>
      <c r="K448" s="257"/>
      <c r="L448" s="257"/>
      <c r="M448" s="257"/>
      <c r="N448" s="257"/>
      <c r="O448" s="257"/>
      <c r="P448" s="257"/>
      <c r="Q448" s="257"/>
      <c r="R448" s="257"/>
      <c r="S448" s="257"/>
      <c r="T448" s="257"/>
      <c r="U448" s="257"/>
      <c r="V448" s="257"/>
      <c r="W448" s="257"/>
      <c r="X448" s="257"/>
      <c r="Y448" s="257"/>
      <c r="Z448" s="257"/>
    </row>
    <row r="449" ht="14.25" customHeight="1">
      <c r="A449" s="257"/>
      <c r="B449" s="257"/>
      <c r="C449" s="257"/>
      <c r="D449" s="257"/>
      <c r="E449" s="257"/>
      <c r="F449" s="257"/>
      <c r="G449" s="257"/>
      <c r="H449" s="257"/>
      <c r="I449" s="257"/>
      <c r="J449" s="257"/>
      <c r="K449" s="257"/>
      <c r="L449" s="257"/>
      <c r="M449" s="257"/>
      <c r="N449" s="257"/>
      <c r="O449" s="257"/>
      <c r="P449" s="257"/>
      <c r="Q449" s="257"/>
      <c r="R449" s="257"/>
      <c r="S449" s="257"/>
      <c r="T449" s="257"/>
      <c r="U449" s="257"/>
      <c r="V449" s="257"/>
      <c r="W449" s="257"/>
      <c r="X449" s="257"/>
      <c r="Y449" s="257"/>
      <c r="Z449" s="257"/>
    </row>
    <row r="450" ht="14.25" customHeight="1">
      <c r="A450" s="257"/>
      <c r="B450" s="257"/>
      <c r="C450" s="257"/>
      <c r="D450" s="257"/>
      <c r="E450" s="257"/>
      <c r="F450" s="257"/>
      <c r="G450" s="257"/>
      <c r="H450" s="257"/>
      <c r="I450" s="257"/>
      <c r="J450" s="257"/>
      <c r="K450" s="257"/>
      <c r="L450" s="257"/>
      <c r="M450" s="257"/>
      <c r="N450" s="257"/>
      <c r="O450" s="257"/>
      <c r="P450" s="257"/>
      <c r="Q450" s="257"/>
      <c r="R450" s="257"/>
      <c r="S450" s="257"/>
      <c r="T450" s="257"/>
      <c r="U450" s="257"/>
      <c r="V450" s="257"/>
      <c r="W450" s="257"/>
      <c r="X450" s="257"/>
      <c r="Y450" s="257"/>
      <c r="Z450" s="257"/>
    </row>
    <row r="451" ht="14.25" customHeight="1">
      <c r="A451" s="257"/>
      <c r="B451" s="257"/>
      <c r="C451" s="257"/>
      <c r="D451" s="257"/>
      <c r="E451" s="257"/>
      <c r="F451" s="257"/>
      <c r="G451" s="257"/>
      <c r="H451" s="257"/>
      <c r="I451" s="257"/>
      <c r="J451" s="257"/>
      <c r="K451" s="257"/>
      <c r="L451" s="257"/>
      <c r="M451" s="257"/>
      <c r="N451" s="257"/>
      <c r="O451" s="257"/>
      <c r="P451" s="257"/>
      <c r="Q451" s="257"/>
      <c r="R451" s="257"/>
      <c r="S451" s="257"/>
      <c r="T451" s="257"/>
      <c r="U451" s="257"/>
      <c r="V451" s="257"/>
      <c r="W451" s="257"/>
      <c r="X451" s="257"/>
      <c r="Y451" s="257"/>
      <c r="Z451" s="257"/>
    </row>
    <row r="452" ht="14.25" customHeight="1">
      <c r="A452" s="257"/>
      <c r="B452" s="257"/>
      <c r="C452" s="257"/>
      <c r="D452" s="257"/>
      <c r="E452" s="257"/>
      <c r="F452" s="257"/>
      <c r="G452" s="257"/>
      <c r="H452" s="257"/>
      <c r="I452" s="257"/>
      <c r="J452" s="257"/>
      <c r="K452" s="257"/>
      <c r="L452" s="257"/>
      <c r="M452" s="257"/>
      <c r="N452" s="257"/>
      <c r="O452" s="257"/>
      <c r="P452" s="257"/>
      <c r="Q452" s="257"/>
      <c r="R452" s="257"/>
      <c r="S452" s="257"/>
      <c r="T452" s="257"/>
      <c r="U452" s="257"/>
      <c r="V452" s="257"/>
      <c r="W452" s="257"/>
      <c r="X452" s="257"/>
      <c r="Y452" s="257"/>
      <c r="Z452" s="257"/>
    </row>
    <row r="453" ht="14.25" customHeight="1">
      <c r="A453" s="257"/>
      <c r="B453" s="257"/>
      <c r="C453" s="257"/>
      <c r="D453" s="257"/>
      <c r="E453" s="257"/>
      <c r="F453" s="257"/>
      <c r="G453" s="257"/>
      <c r="H453" s="257"/>
      <c r="I453" s="257"/>
      <c r="J453" s="257"/>
      <c r="K453" s="257"/>
      <c r="L453" s="257"/>
      <c r="M453" s="257"/>
      <c r="N453" s="257"/>
      <c r="O453" s="257"/>
      <c r="P453" s="257"/>
      <c r="Q453" s="257"/>
      <c r="R453" s="257"/>
      <c r="S453" s="257"/>
      <c r="T453" s="257"/>
      <c r="U453" s="257"/>
      <c r="V453" s="257"/>
      <c r="W453" s="257"/>
      <c r="X453" s="257"/>
      <c r="Y453" s="257"/>
      <c r="Z453" s="257"/>
    </row>
    <row r="454" ht="14.25" customHeight="1">
      <c r="A454" s="257"/>
      <c r="B454" s="257"/>
      <c r="C454" s="257"/>
      <c r="D454" s="257"/>
      <c r="E454" s="257"/>
      <c r="F454" s="257"/>
      <c r="G454" s="257"/>
      <c r="H454" s="257"/>
      <c r="I454" s="257"/>
      <c r="J454" s="257"/>
      <c r="K454" s="257"/>
      <c r="L454" s="257"/>
      <c r="M454" s="257"/>
      <c r="N454" s="257"/>
      <c r="O454" s="257"/>
      <c r="P454" s="257"/>
      <c r="Q454" s="257"/>
      <c r="R454" s="257"/>
      <c r="S454" s="257"/>
      <c r="T454" s="257"/>
      <c r="U454" s="257"/>
      <c r="V454" s="257"/>
      <c r="W454" s="257"/>
      <c r="X454" s="257"/>
      <c r="Y454" s="257"/>
      <c r="Z454" s="257"/>
    </row>
    <row r="455" ht="14.25" customHeight="1">
      <c r="A455" s="257"/>
      <c r="B455" s="257"/>
      <c r="C455" s="257"/>
      <c r="D455" s="257"/>
      <c r="E455" s="257"/>
      <c r="F455" s="257"/>
      <c r="G455" s="257"/>
      <c r="H455" s="257"/>
      <c r="I455" s="257"/>
      <c r="J455" s="257"/>
      <c r="K455" s="257"/>
      <c r="L455" s="257"/>
      <c r="M455" s="257"/>
      <c r="N455" s="257"/>
      <c r="O455" s="257"/>
      <c r="P455" s="257"/>
      <c r="Q455" s="257"/>
      <c r="R455" s="257"/>
      <c r="S455" s="257"/>
      <c r="T455" s="257"/>
      <c r="U455" s="257"/>
      <c r="V455" s="257"/>
      <c r="W455" s="257"/>
      <c r="X455" s="257"/>
      <c r="Y455" s="257"/>
      <c r="Z455" s="257"/>
    </row>
    <row r="456" ht="14.25" customHeight="1">
      <c r="A456" s="257"/>
      <c r="B456" s="25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257"/>
      <c r="W456" s="257"/>
      <c r="X456" s="257"/>
      <c r="Y456" s="257"/>
      <c r="Z456" s="257"/>
    </row>
    <row r="457" ht="14.25" customHeight="1">
      <c r="A457" s="257"/>
      <c r="B457" s="257"/>
      <c r="C457" s="257"/>
      <c r="D457" s="257"/>
      <c r="E457" s="257"/>
      <c r="F457" s="257"/>
      <c r="G457" s="257"/>
      <c r="H457" s="257"/>
      <c r="I457" s="257"/>
      <c r="J457" s="257"/>
      <c r="K457" s="257"/>
      <c r="L457" s="257"/>
      <c r="M457" s="257"/>
      <c r="N457" s="257"/>
      <c r="O457" s="257"/>
      <c r="P457" s="257"/>
      <c r="Q457" s="257"/>
      <c r="R457" s="257"/>
      <c r="S457" s="257"/>
      <c r="T457" s="257"/>
      <c r="U457" s="257"/>
      <c r="V457" s="257"/>
      <c r="W457" s="257"/>
      <c r="X457" s="257"/>
      <c r="Y457" s="257"/>
      <c r="Z457" s="257"/>
    </row>
    <row r="458" ht="14.25" customHeight="1">
      <c r="A458" s="257"/>
      <c r="B458" s="257"/>
      <c r="C458" s="257"/>
      <c r="D458" s="257"/>
      <c r="E458" s="257"/>
      <c r="F458" s="257"/>
      <c r="G458" s="257"/>
      <c r="H458" s="257"/>
      <c r="I458" s="257"/>
      <c r="J458" s="257"/>
      <c r="K458" s="257"/>
      <c r="L458" s="257"/>
      <c r="M458" s="257"/>
      <c r="N458" s="257"/>
      <c r="O458" s="257"/>
      <c r="P458" s="257"/>
      <c r="Q458" s="257"/>
      <c r="R458" s="257"/>
      <c r="S458" s="257"/>
      <c r="T458" s="257"/>
      <c r="U458" s="257"/>
      <c r="V458" s="257"/>
      <c r="W458" s="257"/>
      <c r="X458" s="257"/>
      <c r="Y458" s="257"/>
      <c r="Z458" s="257"/>
    </row>
    <row r="459" ht="14.25" customHeight="1">
      <c r="A459" s="257"/>
      <c r="B459" s="257"/>
      <c r="C459" s="257"/>
      <c r="D459" s="257"/>
      <c r="E459" s="257"/>
      <c r="F459" s="257"/>
      <c r="G459" s="257"/>
      <c r="H459" s="257"/>
      <c r="I459" s="257"/>
      <c r="J459" s="257"/>
      <c r="K459" s="257"/>
      <c r="L459" s="257"/>
      <c r="M459" s="257"/>
      <c r="N459" s="257"/>
      <c r="O459" s="257"/>
      <c r="P459" s="257"/>
      <c r="Q459" s="257"/>
      <c r="R459" s="257"/>
      <c r="S459" s="257"/>
      <c r="T459" s="257"/>
      <c r="U459" s="257"/>
      <c r="V459" s="257"/>
      <c r="W459" s="257"/>
      <c r="X459" s="257"/>
      <c r="Y459" s="257"/>
      <c r="Z459" s="257"/>
    </row>
    <row r="460" ht="14.25" customHeight="1">
      <c r="A460" s="257"/>
      <c r="B460" s="257"/>
      <c r="C460" s="257"/>
      <c r="D460" s="257"/>
      <c r="E460" s="257"/>
      <c r="F460" s="257"/>
      <c r="G460" s="257"/>
      <c r="H460" s="257"/>
      <c r="I460" s="257"/>
      <c r="J460" s="257"/>
      <c r="K460" s="257"/>
      <c r="L460" s="257"/>
      <c r="M460" s="257"/>
      <c r="N460" s="257"/>
      <c r="O460" s="257"/>
      <c r="P460" s="257"/>
      <c r="Q460" s="257"/>
      <c r="R460" s="257"/>
      <c r="S460" s="257"/>
      <c r="T460" s="257"/>
      <c r="U460" s="257"/>
      <c r="V460" s="257"/>
      <c r="W460" s="257"/>
      <c r="X460" s="257"/>
      <c r="Y460" s="257"/>
      <c r="Z460" s="257"/>
    </row>
    <row r="461" ht="14.25" customHeight="1">
      <c r="A461" s="257"/>
      <c r="B461" s="257"/>
      <c r="C461" s="257"/>
      <c r="D461" s="257"/>
      <c r="E461" s="257"/>
      <c r="F461" s="257"/>
      <c r="G461" s="257"/>
      <c r="H461" s="257"/>
      <c r="I461" s="257"/>
      <c r="J461" s="257"/>
      <c r="K461" s="257"/>
      <c r="L461" s="257"/>
      <c r="M461" s="257"/>
      <c r="N461" s="257"/>
      <c r="O461" s="257"/>
      <c r="P461" s="257"/>
      <c r="Q461" s="257"/>
      <c r="R461" s="257"/>
      <c r="S461" s="257"/>
      <c r="T461" s="257"/>
      <c r="U461" s="257"/>
      <c r="V461" s="257"/>
      <c r="W461" s="257"/>
      <c r="X461" s="257"/>
      <c r="Y461" s="257"/>
      <c r="Z461" s="257"/>
    </row>
    <row r="462" ht="14.25" customHeight="1">
      <c r="A462" s="257"/>
      <c r="B462" s="257"/>
      <c r="C462" s="257"/>
      <c r="D462" s="257"/>
      <c r="E462" s="257"/>
      <c r="F462" s="257"/>
      <c r="G462" s="257"/>
      <c r="H462" s="257"/>
      <c r="I462" s="257"/>
      <c r="J462" s="257"/>
      <c r="K462" s="257"/>
      <c r="L462" s="257"/>
      <c r="M462" s="257"/>
      <c r="N462" s="257"/>
      <c r="O462" s="257"/>
      <c r="P462" s="257"/>
      <c r="Q462" s="257"/>
      <c r="R462" s="257"/>
      <c r="S462" s="257"/>
      <c r="T462" s="257"/>
      <c r="U462" s="257"/>
      <c r="V462" s="257"/>
      <c r="W462" s="257"/>
      <c r="X462" s="257"/>
      <c r="Y462" s="257"/>
      <c r="Z462" s="257"/>
    </row>
    <row r="463" ht="14.25" customHeight="1">
      <c r="A463" s="257"/>
      <c r="B463" s="257"/>
      <c r="C463" s="257"/>
      <c r="D463" s="257"/>
      <c r="E463" s="257"/>
      <c r="F463" s="257"/>
      <c r="G463" s="257"/>
      <c r="H463" s="257"/>
      <c r="I463" s="257"/>
      <c r="J463" s="257"/>
      <c r="K463" s="257"/>
      <c r="L463" s="257"/>
      <c r="M463" s="257"/>
      <c r="N463" s="257"/>
      <c r="O463" s="257"/>
      <c r="P463" s="257"/>
      <c r="Q463" s="257"/>
      <c r="R463" s="257"/>
      <c r="S463" s="257"/>
      <c r="T463" s="257"/>
      <c r="U463" s="257"/>
      <c r="V463" s="257"/>
      <c r="W463" s="257"/>
      <c r="X463" s="257"/>
      <c r="Y463" s="257"/>
      <c r="Z463" s="257"/>
    </row>
    <row r="464" ht="14.25" customHeight="1">
      <c r="A464" s="257"/>
      <c r="B464" s="25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257"/>
      <c r="W464" s="257"/>
      <c r="X464" s="257"/>
      <c r="Y464" s="257"/>
      <c r="Z464" s="257"/>
    </row>
    <row r="465" ht="14.25" customHeight="1">
      <c r="A465" s="257"/>
      <c r="B465" s="257"/>
      <c r="C465" s="257"/>
      <c r="D465" s="257"/>
      <c r="E465" s="257"/>
      <c r="F465" s="257"/>
      <c r="G465" s="257"/>
      <c r="H465" s="257"/>
      <c r="I465" s="257"/>
      <c r="J465" s="257"/>
      <c r="K465" s="257"/>
      <c r="L465" s="257"/>
      <c r="M465" s="257"/>
      <c r="N465" s="257"/>
      <c r="O465" s="257"/>
      <c r="P465" s="257"/>
      <c r="Q465" s="257"/>
      <c r="R465" s="257"/>
      <c r="S465" s="257"/>
      <c r="T465" s="257"/>
      <c r="U465" s="257"/>
      <c r="V465" s="257"/>
      <c r="W465" s="257"/>
      <c r="X465" s="257"/>
      <c r="Y465" s="257"/>
      <c r="Z465" s="257"/>
    </row>
    <row r="466" ht="14.25" customHeight="1">
      <c r="A466" s="257"/>
      <c r="B466" s="257"/>
      <c r="C466" s="257"/>
      <c r="D466" s="257"/>
      <c r="E466" s="257"/>
      <c r="F466" s="257"/>
      <c r="G466" s="257"/>
      <c r="H466" s="257"/>
      <c r="I466" s="257"/>
      <c r="J466" s="257"/>
      <c r="K466" s="257"/>
      <c r="L466" s="257"/>
      <c r="M466" s="257"/>
      <c r="N466" s="257"/>
      <c r="O466" s="257"/>
      <c r="P466" s="257"/>
      <c r="Q466" s="257"/>
      <c r="R466" s="257"/>
      <c r="S466" s="257"/>
      <c r="T466" s="257"/>
      <c r="U466" s="257"/>
      <c r="V466" s="257"/>
      <c r="W466" s="257"/>
      <c r="X466" s="257"/>
      <c r="Y466" s="257"/>
      <c r="Z466" s="257"/>
    </row>
    <row r="467" ht="14.25" customHeight="1">
      <c r="A467" s="257"/>
      <c r="B467" s="257"/>
      <c r="C467" s="257"/>
      <c r="D467" s="257"/>
      <c r="E467" s="257"/>
      <c r="F467" s="257"/>
      <c r="G467" s="257"/>
      <c r="H467" s="257"/>
      <c r="I467" s="257"/>
      <c r="J467" s="257"/>
      <c r="K467" s="257"/>
      <c r="L467" s="257"/>
      <c r="M467" s="257"/>
      <c r="N467" s="257"/>
      <c r="O467" s="257"/>
      <c r="P467" s="257"/>
      <c r="Q467" s="257"/>
      <c r="R467" s="257"/>
      <c r="S467" s="257"/>
      <c r="T467" s="257"/>
      <c r="U467" s="257"/>
      <c r="V467" s="257"/>
      <c r="W467" s="257"/>
      <c r="X467" s="257"/>
      <c r="Y467" s="257"/>
      <c r="Z467" s="257"/>
    </row>
    <row r="468" ht="14.25" customHeight="1">
      <c r="A468" s="257"/>
      <c r="B468" s="257"/>
      <c r="C468" s="257"/>
      <c r="D468" s="257"/>
      <c r="E468" s="257"/>
      <c r="F468" s="257"/>
      <c r="G468" s="257"/>
      <c r="H468" s="257"/>
      <c r="I468" s="257"/>
      <c r="J468" s="257"/>
      <c r="K468" s="257"/>
      <c r="L468" s="257"/>
      <c r="M468" s="257"/>
      <c r="N468" s="257"/>
      <c r="O468" s="257"/>
      <c r="P468" s="257"/>
      <c r="Q468" s="257"/>
      <c r="R468" s="257"/>
      <c r="S468" s="257"/>
      <c r="T468" s="257"/>
      <c r="U468" s="257"/>
      <c r="V468" s="257"/>
      <c r="W468" s="257"/>
      <c r="X468" s="257"/>
      <c r="Y468" s="257"/>
      <c r="Z468" s="257"/>
    </row>
    <row r="469" ht="14.25" customHeight="1">
      <c r="A469" s="257"/>
      <c r="B469" s="257"/>
      <c r="C469" s="257"/>
      <c r="D469" s="257"/>
      <c r="E469" s="257"/>
      <c r="F469" s="257"/>
      <c r="G469" s="257"/>
      <c r="H469" s="257"/>
      <c r="I469" s="257"/>
      <c r="J469" s="257"/>
      <c r="K469" s="257"/>
      <c r="L469" s="257"/>
      <c r="M469" s="257"/>
      <c r="N469" s="257"/>
      <c r="O469" s="257"/>
      <c r="P469" s="257"/>
      <c r="Q469" s="257"/>
      <c r="R469" s="257"/>
      <c r="S469" s="257"/>
      <c r="T469" s="257"/>
      <c r="U469" s="257"/>
      <c r="V469" s="257"/>
      <c r="W469" s="257"/>
      <c r="X469" s="257"/>
      <c r="Y469" s="257"/>
      <c r="Z469" s="257"/>
    </row>
    <row r="470" ht="14.25" customHeight="1">
      <c r="A470" s="257"/>
      <c r="B470" s="257"/>
      <c r="C470" s="257"/>
      <c r="D470" s="257"/>
      <c r="E470" s="257"/>
      <c r="F470" s="257"/>
      <c r="G470" s="257"/>
      <c r="H470" s="257"/>
      <c r="I470" s="257"/>
      <c r="J470" s="257"/>
      <c r="K470" s="257"/>
      <c r="L470" s="257"/>
      <c r="M470" s="257"/>
      <c r="N470" s="257"/>
      <c r="O470" s="257"/>
      <c r="P470" s="257"/>
      <c r="Q470" s="257"/>
      <c r="R470" s="257"/>
      <c r="S470" s="257"/>
      <c r="T470" s="257"/>
      <c r="U470" s="257"/>
      <c r="V470" s="257"/>
      <c r="W470" s="257"/>
      <c r="X470" s="257"/>
      <c r="Y470" s="257"/>
      <c r="Z470" s="257"/>
    </row>
    <row r="471" ht="14.25" customHeight="1">
      <c r="A471" s="257"/>
      <c r="B471" s="257"/>
      <c r="C471" s="257"/>
      <c r="D471" s="257"/>
      <c r="E471" s="257"/>
      <c r="F471" s="257"/>
      <c r="G471" s="257"/>
      <c r="H471" s="257"/>
      <c r="I471" s="257"/>
      <c r="J471" s="257"/>
      <c r="K471" s="257"/>
      <c r="L471" s="257"/>
      <c r="M471" s="257"/>
      <c r="N471" s="257"/>
      <c r="O471" s="257"/>
      <c r="P471" s="257"/>
      <c r="Q471" s="257"/>
      <c r="R471" s="257"/>
      <c r="S471" s="257"/>
      <c r="T471" s="257"/>
      <c r="U471" s="257"/>
      <c r="V471" s="257"/>
      <c r="W471" s="257"/>
      <c r="X471" s="257"/>
      <c r="Y471" s="257"/>
      <c r="Z471" s="257"/>
    </row>
    <row r="472" ht="14.25" customHeight="1">
      <c r="A472" s="257"/>
      <c r="B472" s="257"/>
      <c r="C472" s="257"/>
      <c r="D472" s="257"/>
      <c r="E472" s="257"/>
      <c r="F472" s="257"/>
      <c r="G472" s="257"/>
      <c r="H472" s="257"/>
      <c r="I472" s="257"/>
      <c r="J472" s="257"/>
      <c r="K472" s="257"/>
      <c r="L472" s="257"/>
      <c r="M472" s="257"/>
      <c r="N472" s="257"/>
      <c r="O472" s="257"/>
      <c r="P472" s="257"/>
      <c r="Q472" s="257"/>
      <c r="R472" s="257"/>
      <c r="S472" s="257"/>
      <c r="T472" s="257"/>
      <c r="U472" s="257"/>
      <c r="V472" s="257"/>
      <c r="W472" s="257"/>
      <c r="X472" s="257"/>
      <c r="Y472" s="257"/>
      <c r="Z472" s="257"/>
    </row>
    <row r="473" ht="14.25" customHeight="1">
      <c r="A473" s="257"/>
      <c r="B473" s="257"/>
      <c r="C473" s="257"/>
      <c r="D473" s="257"/>
      <c r="E473" s="257"/>
      <c r="F473" s="257"/>
      <c r="G473" s="257"/>
      <c r="H473" s="257"/>
      <c r="I473" s="257"/>
      <c r="J473" s="257"/>
      <c r="K473" s="257"/>
      <c r="L473" s="257"/>
      <c r="M473" s="257"/>
      <c r="N473" s="257"/>
      <c r="O473" s="257"/>
      <c r="P473" s="257"/>
      <c r="Q473" s="257"/>
      <c r="R473" s="257"/>
      <c r="S473" s="257"/>
      <c r="T473" s="257"/>
      <c r="U473" s="257"/>
      <c r="V473" s="257"/>
      <c r="W473" s="257"/>
      <c r="X473" s="257"/>
      <c r="Y473" s="257"/>
      <c r="Z473" s="257"/>
    </row>
    <row r="474" ht="14.25" customHeight="1">
      <c r="A474" s="257"/>
      <c r="B474" s="25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257"/>
      <c r="W474" s="257"/>
      <c r="X474" s="257"/>
      <c r="Y474" s="257"/>
      <c r="Z474" s="257"/>
    </row>
    <row r="475" ht="14.25" customHeight="1">
      <c r="A475" s="257"/>
      <c r="B475" s="257"/>
      <c r="C475" s="257"/>
      <c r="D475" s="257"/>
      <c r="E475" s="257"/>
      <c r="F475" s="257"/>
      <c r="G475" s="257"/>
      <c r="H475" s="257"/>
      <c r="I475" s="257"/>
      <c r="J475" s="257"/>
      <c r="K475" s="257"/>
      <c r="L475" s="257"/>
      <c r="M475" s="257"/>
      <c r="N475" s="257"/>
      <c r="O475" s="257"/>
      <c r="P475" s="257"/>
      <c r="Q475" s="257"/>
      <c r="R475" s="257"/>
      <c r="S475" s="257"/>
      <c r="T475" s="257"/>
      <c r="U475" s="257"/>
      <c r="V475" s="257"/>
      <c r="W475" s="257"/>
      <c r="X475" s="257"/>
      <c r="Y475" s="257"/>
      <c r="Z475" s="257"/>
    </row>
    <row r="476" ht="14.25" customHeight="1">
      <c r="A476" s="257"/>
      <c r="B476" s="257"/>
      <c r="C476" s="257"/>
      <c r="D476" s="257"/>
      <c r="E476" s="257"/>
      <c r="F476" s="257"/>
      <c r="G476" s="257"/>
      <c r="H476" s="257"/>
      <c r="I476" s="257"/>
      <c r="J476" s="257"/>
      <c r="K476" s="257"/>
      <c r="L476" s="257"/>
      <c r="M476" s="257"/>
      <c r="N476" s="257"/>
      <c r="O476" s="257"/>
      <c r="P476" s="257"/>
      <c r="Q476" s="257"/>
      <c r="R476" s="257"/>
      <c r="S476" s="257"/>
      <c r="T476" s="257"/>
      <c r="U476" s="257"/>
      <c r="V476" s="257"/>
      <c r="W476" s="257"/>
      <c r="X476" s="257"/>
      <c r="Y476" s="257"/>
      <c r="Z476" s="257"/>
    </row>
    <row r="477" ht="14.25" customHeight="1">
      <c r="A477" s="257"/>
      <c r="B477" s="257"/>
      <c r="C477" s="257"/>
      <c r="D477" s="257"/>
      <c r="E477" s="257"/>
      <c r="F477" s="257"/>
      <c r="G477" s="257"/>
      <c r="H477" s="257"/>
      <c r="I477" s="257"/>
      <c r="J477" s="257"/>
      <c r="K477" s="257"/>
      <c r="L477" s="257"/>
      <c r="M477" s="257"/>
      <c r="N477" s="257"/>
      <c r="O477" s="257"/>
      <c r="P477" s="257"/>
      <c r="Q477" s="257"/>
      <c r="R477" s="257"/>
      <c r="S477" s="257"/>
      <c r="T477" s="257"/>
      <c r="U477" s="257"/>
      <c r="V477" s="257"/>
      <c r="W477" s="257"/>
      <c r="X477" s="257"/>
      <c r="Y477" s="257"/>
      <c r="Z477" s="257"/>
    </row>
    <row r="478" ht="14.25" customHeight="1">
      <c r="A478" s="257"/>
      <c r="B478" s="257"/>
      <c r="C478" s="257"/>
      <c r="D478" s="257"/>
      <c r="E478" s="257"/>
      <c r="F478" s="257"/>
      <c r="G478" s="257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257"/>
      <c r="W478" s="257"/>
      <c r="X478" s="257"/>
      <c r="Y478" s="257"/>
      <c r="Z478" s="257"/>
    </row>
    <row r="479" ht="14.25" customHeight="1">
      <c r="A479" s="257"/>
      <c r="B479" s="257"/>
      <c r="C479" s="257"/>
      <c r="D479" s="257"/>
      <c r="E479" s="257"/>
      <c r="F479" s="257"/>
      <c r="G479" s="257"/>
      <c r="H479" s="257"/>
      <c r="I479" s="257"/>
      <c r="J479" s="257"/>
      <c r="K479" s="257"/>
      <c r="L479" s="257"/>
      <c r="M479" s="257"/>
      <c r="N479" s="257"/>
      <c r="O479" s="257"/>
      <c r="P479" s="257"/>
      <c r="Q479" s="257"/>
      <c r="R479" s="257"/>
      <c r="S479" s="257"/>
      <c r="T479" s="257"/>
      <c r="U479" s="257"/>
      <c r="V479" s="257"/>
      <c r="W479" s="257"/>
      <c r="X479" s="257"/>
      <c r="Y479" s="257"/>
      <c r="Z479" s="257"/>
    </row>
    <row r="480" ht="14.25" customHeight="1">
      <c r="A480" s="257"/>
      <c r="B480" s="257"/>
      <c r="C480" s="257"/>
      <c r="D480" s="257"/>
      <c r="E480" s="257"/>
      <c r="F480" s="257"/>
      <c r="G480" s="257"/>
      <c r="H480" s="257"/>
      <c r="I480" s="257"/>
      <c r="J480" s="257"/>
      <c r="K480" s="257"/>
      <c r="L480" s="257"/>
      <c r="M480" s="257"/>
      <c r="N480" s="257"/>
      <c r="O480" s="257"/>
      <c r="P480" s="257"/>
      <c r="Q480" s="257"/>
      <c r="R480" s="257"/>
      <c r="S480" s="257"/>
      <c r="T480" s="257"/>
      <c r="U480" s="257"/>
      <c r="V480" s="257"/>
      <c r="W480" s="257"/>
      <c r="X480" s="257"/>
      <c r="Y480" s="257"/>
      <c r="Z480" s="257"/>
    </row>
    <row r="481" ht="14.25" customHeight="1">
      <c r="A481" s="257"/>
      <c r="B481" s="257"/>
      <c r="C481" s="257"/>
      <c r="D481" s="257"/>
      <c r="E481" s="257"/>
      <c r="F481" s="257"/>
      <c r="G481" s="257"/>
      <c r="H481" s="257"/>
      <c r="I481" s="257"/>
      <c r="J481" s="257"/>
      <c r="K481" s="257"/>
      <c r="L481" s="257"/>
      <c r="M481" s="257"/>
      <c r="N481" s="257"/>
      <c r="O481" s="257"/>
      <c r="P481" s="257"/>
      <c r="Q481" s="257"/>
      <c r="R481" s="257"/>
      <c r="S481" s="257"/>
      <c r="T481" s="257"/>
      <c r="U481" s="257"/>
      <c r="V481" s="257"/>
      <c r="W481" s="257"/>
      <c r="X481" s="257"/>
      <c r="Y481" s="257"/>
      <c r="Z481" s="257"/>
    </row>
    <row r="482" ht="14.25" customHeight="1">
      <c r="A482" s="257"/>
      <c r="B482" s="257"/>
      <c r="C482" s="257"/>
      <c r="D482" s="257"/>
      <c r="E482" s="257"/>
      <c r="F482" s="257"/>
      <c r="G482" s="257"/>
      <c r="H482" s="257"/>
      <c r="I482" s="257"/>
      <c r="J482" s="257"/>
      <c r="K482" s="257"/>
      <c r="L482" s="257"/>
      <c r="M482" s="257"/>
      <c r="N482" s="257"/>
      <c r="O482" s="257"/>
      <c r="P482" s="257"/>
      <c r="Q482" s="257"/>
      <c r="R482" s="257"/>
      <c r="S482" s="257"/>
      <c r="T482" s="257"/>
      <c r="U482" s="257"/>
      <c r="V482" s="257"/>
      <c r="W482" s="257"/>
      <c r="X482" s="257"/>
      <c r="Y482" s="257"/>
      <c r="Z482" s="257"/>
    </row>
    <row r="483" ht="14.25" customHeight="1">
      <c r="A483" s="257"/>
      <c r="B483" s="257"/>
      <c r="C483" s="257"/>
      <c r="D483" s="257"/>
      <c r="E483" s="257"/>
      <c r="F483" s="257"/>
      <c r="G483" s="257"/>
      <c r="H483" s="257"/>
      <c r="I483" s="257"/>
      <c r="J483" s="257"/>
      <c r="K483" s="257"/>
      <c r="L483" s="257"/>
      <c r="M483" s="257"/>
      <c r="N483" s="257"/>
      <c r="O483" s="257"/>
      <c r="P483" s="257"/>
      <c r="Q483" s="257"/>
      <c r="R483" s="257"/>
      <c r="S483" s="257"/>
      <c r="T483" s="257"/>
      <c r="U483" s="257"/>
      <c r="V483" s="257"/>
      <c r="W483" s="257"/>
      <c r="X483" s="257"/>
      <c r="Y483" s="257"/>
      <c r="Z483" s="257"/>
    </row>
    <row r="484" ht="14.25" customHeight="1">
      <c r="A484" s="257"/>
      <c r="B484" s="25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257"/>
      <c r="W484" s="257"/>
      <c r="X484" s="257"/>
      <c r="Y484" s="257"/>
      <c r="Z484" s="257"/>
    </row>
    <row r="485" ht="14.25" customHeight="1">
      <c r="A485" s="257"/>
      <c r="B485" s="257"/>
      <c r="C485" s="257"/>
      <c r="D485" s="257"/>
      <c r="E485" s="257"/>
      <c r="F485" s="257"/>
      <c r="G485" s="257"/>
      <c r="H485" s="257"/>
      <c r="I485" s="257"/>
      <c r="J485" s="257"/>
      <c r="K485" s="257"/>
      <c r="L485" s="257"/>
      <c r="M485" s="257"/>
      <c r="N485" s="257"/>
      <c r="O485" s="257"/>
      <c r="P485" s="257"/>
      <c r="Q485" s="257"/>
      <c r="R485" s="257"/>
      <c r="S485" s="257"/>
      <c r="T485" s="257"/>
      <c r="U485" s="257"/>
      <c r="V485" s="257"/>
      <c r="W485" s="257"/>
      <c r="X485" s="257"/>
      <c r="Y485" s="257"/>
      <c r="Z485" s="257"/>
    </row>
    <row r="486" ht="14.25" customHeight="1">
      <c r="A486" s="257"/>
      <c r="B486" s="257"/>
      <c r="C486" s="257"/>
      <c r="D486" s="257"/>
      <c r="E486" s="257"/>
      <c r="F486" s="257"/>
      <c r="G486" s="257"/>
      <c r="H486" s="257"/>
      <c r="I486" s="257"/>
      <c r="J486" s="257"/>
      <c r="K486" s="257"/>
      <c r="L486" s="257"/>
      <c r="M486" s="257"/>
      <c r="N486" s="257"/>
      <c r="O486" s="257"/>
      <c r="P486" s="257"/>
      <c r="Q486" s="257"/>
      <c r="R486" s="257"/>
      <c r="S486" s="257"/>
      <c r="T486" s="257"/>
      <c r="U486" s="257"/>
      <c r="V486" s="257"/>
      <c r="W486" s="257"/>
      <c r="X486" s="257"/>
      <c r="Y486" s="257"/>
      <c r="Z486" s="257"/>
    </row>
    <row r="487" ht="14.25" customHeight="1">
      <c r="A487" s="257"/>
      <c r="B487" s="257"/>
      <c r="C487" s="257"/>
      <c r="D487" s="257"/>
      <c r="E487" s="257"/>
      <c r="F487" s="257"/>
      <c r="G487" s="257"/>
      <c r="H487" s="257"/>
      <c r="I487" s="257"/>
      <c r="J487" s="257"/>
      <c r="K487" s="257"/>
      <c r="L487" s="257"/>
      <c r="M487" s="257"/>
      <c r="N487" s="257"/>
      <c r="O487" s="257"/>
      <c r="P487" s="257"/>
      <c r="Q487" s="257"/>
      <c r="R487" s="257"/>
      <c r="S487" s="257"/>
      <c r="T487" s="257"/>
      <c r="U487" s="257"/>
      <c r="V487" s="257"/>
      <c r="W487" s="257"/>
      <c r="X487" s="257"/>
      <c r="Y487" s="257"/>
      <c r="Z487" s="257"/>
    </row>
    <row r="488" ht="14.25" customHeight="1">
      <c r="A488" s="257"/>
      <c r="B488" s="257"/>
      <c r="C488" s="257"/>
      <c r="D488" s="257"/>
      <c r="E488" s="257"/>
      <c r="F488" s="257"/>
      <c r="G488" s="257"/>
      <c r="H488" s="257"/>
      <c r="I488" s="257"/>
      <c r="J488" s="257"/>
      <c r="K488" s="257"/>
      <c r="L488" s="257"/>
      <c r="M488" s="257"/>
      <c r="N488" s="257"/>
      <c r="O488" s="257"/>
      <c r="P488" s="257"/>
      <c r="Q488" s="257"/>
      <c r="R488" s="257"/>
      <c r="S488" s="257"/>
      <c r="T488" s="257"/>
      <c r="U488" s="257"/>
      <c r="V488" s="257"/>
      <c r="W488" s="257"/>
      <c r="X488" s="257"/>
      <c r="Y488" s="257"/>
      <c r="Z488" s="257"/>
    </row>
    <row r="489" ht="14.25" customHeight="1">
      <c r="A489" s="257"/>
      <c r="B489" s="257"/>
      <c r="C489" s="257"/>
      <c r="D489" s="257"/>
      <c r="E489" s="257"/>
      <c r="F489" s="257"/>
      <c r="G489" s="257"/>
      <c r="H489" s="257"/>
      <c r="I489" s="257"/>
      <c r="J489" s="257"/>
      <c r="K489" s="257"/>
      <c r="L489" s="257"/>
      <c r="M489" s="257"/>
      <c r="N489" s="257"/>
      <c r="O489" s="257"/>
      <c r="P489" s="257"/>
      <c r="Q489" s="257"/>
      <c r="R489" s="257"/>
      <c r="S489" s="257"/>
      <c r="T489" s="257"/>
      <c r="U489" s="257"/>
      <c r="V489" s="257"/>
      <c r="W489" s="257"/>
      <c r="X489" s="257"/>
      <c r="Y489" s="257"/>
      <c r="Z489" s="257"/>
    </row>
    <row r="490" ht="14.25" customHeight="1">
      <c r="A490" s="257"/>
      <c r="B490" s="257"/>
      <c r="C490" s="257"/>
      <c r="D490" s="257"/>
      <c r="E490" s="257"/>
      <c r="F490" s="257"/>
      <c r="G490" s="257"/>
      <c r="H490" s="257"/>
      <c r="I490" s="257"/>
      <c r="J490" s="257"/>
      <c r="K490" s="257"/>
      <c r="L490" s="257"/>
      <c r="M490" s="257"/>
      <c r="N490" s="257"/>
      <c r="O490" s="257"/>
      <c r="P490" s="257"/>
      <c r="Q490" s="257"/>
      <c r="R490" s="257"/>
      <c r="S490" s="257"/>
      <c r="T490" s="257"/>
      <c r="U490" s="257"/>
      <c r="V490" s="257"/>
      <c r="W490" s="257"/>
      <c r="X490" s="257"/>
      <c r="Y490" s="257"/>
      <c r="Z490" s="257"/>
    </row>
    <row r="491" ht="14.25" customHeight="1">
      <c r="A491" s="257"/>
      <c r="B491" s="257"/>
      <c r="C491" s="257"/>
      <c r="D491" s="257"/>
      <c r="E491" s="257"/>
      <c r="F491" s="257"/>
      <c r="G491" s="257"/>
      <c r="H491" s="257"/>
      <c r="I491" s="257"/>
      <c r="J491" s="257"/>
      <c r="K491" s="257"/>
      <c r="L491" s="257"/>
      <c r="M491" s="257"/>
      <c r="N491" s="257"/>
      <c r="O491" s="257"/>
      <c r="P491" s="257"/>
      <c r="Q491" s="257"/>
      <c r="R491" s="257"/>
      <c r="S491" s="257"/>
      <c r="T491" s="257"/>
      <c r="U491" s="257"/>
      <c r="V491" s="257"/>
      <c r="W491" s="257"/>
      <c r="X491" s="257"/>
      <c r="Y491" s="257"/>
      <c r="Z491" s="257"/>
    </row>
    <row r="492" ht="14.25" customHeight="1">
      <c r="A492" s="257"/>
      <c r="B492" s="257"/>
      <c r="C492" s="257"/>
      <c r="D492" s="257"/>
      <c r="E492" s="257"/>
      <c r="F492" s="257"/>
      <c r="G492" s="257"/>
      <c r="H492" s="257"/>
      <c r="I492" s="257"/>
      <c r="J492" s="257"/>
      <c r="K492" s="257"/>
      <c r="L492" s="257"/>
      <c r="M492" s="257"/>
      <c r="N492" s="257"/>
      <c r="O492" s="257"/>
      <c r="P492" s="257"/>
      <c r="Q492" s="257"/>
      <c r="R492" s="257"/>
      <c r="S492" s="257"/>
      <c r="T492" s="257"/>
      <c r="U492" s="257"/>
      <c r="V492" s="257"/>
      <c r="W492" s="257"/>
      <c r="X492" s="257"/>
      <c r="Y492" s="257"/>
      <c r="Z492" s="257"/>
    </row>
    <row r="493" ht="14.25" customHeight="1">
      <c r="A493" s="257"/>
      <c r="B493" s="257"/>
      <c r="C493" s="257"/>
      <c r="D493" s="257"/>
      <c r="E493" s="257"/>
      <c r="F493" s="257"/>
      <c r="G493" s="257"/>
      <c r="H493" s="257"/>
      <c r="I493" s="257"/>
      <c r="J493" s="257"/>
      <c r="K493" s="257"/>
      <c r="L493" s="257"/>
      <c r="M493" s="257"/>
      <c r="N493" s="257"/>
      <c r="O493" s="257"/>
      <c r="P493" s="257"/>
      <c r="Q493" s="257"/>
      <c r="R493" s="257"/>
      <c r="S493" s="257"/>
      <c r="T493" s="257"/>
      <c r="U493" s="257"/>
      <c r="V493" s="257"/>
      <c r="W493" s="257"/>
      <c r="X493" s="257"/>
      <c r="Y493" s="257"/>
      <c r="Z493" s="257"/>
    </row>
    <row r="494" ht="14.25" customHeight="1">
      <c r="A494" s="257"/>
      <c r="B494" s="257"/>
      <c r="C494" s="257"/>
      <c r="D494" s="257"/>
      <c r="E494" s="257"/>
      <c r="F494" s="257"/>
      <c r="G494" s="257"/>
      <c r="H494" s="257"/>
      <c r="I494" s="257"/>
      <c r="J494" s="257"/>
      <c r="K494" s="257"/>
      <c r="L494" s="257"/>
      <c r="M494" s="257"/>
      <c r="N494" s="257"/>
      <c r="O494" s="257"/>
      <c r="P494" s="257"/>
      <c r="Q494" s="257"/>
      <c r="R494" s="257"/>
      <c r="S494" s="257"/>
      <c r="T494" s="257"/>
      <c r="U494" s="257"/>
      <c r="V494" s="257"/>
      <c r="W494" s="257"/>
      <c r="X494" s="257"/>
      <c r="Y494" s="257"/>
      <c r="Z494" s="257"/>
    </row>
    <row r="495" ht="14.25" customHeight="1">
      <c r="A495" s="257"/>
      <c r="B495" s="257"/>
      <c r="C495" s="257"/>
      <c r="D495" s="257"/>
      <c r="E495" s="257"/>
      <c r="F495" s="257"/>
      <c r="G495" s="257"/>
      <c r="H495" s="257"/>
      <c r="I495" s="257"/>
      <c r="J495" s="257"/>
      <c r="K495" s="257"/>
      <c r="L495" s="257"/>
      <c r="M495" s="257"/>
      <c r="N495" s="257"/>
      <c r="O495" s="257"/>
      <c r="P495" s="257"/>
      <c r="Q495" s="257"/>
      <c r="R495" s="257"/>
      <c r="S495" s="257"/>
      <c r="T495" s="257"/>
      <c r="U495" s="257"/>
      <c r="V495" s="257"/>
      <c r="W495" s="257"/>
      <c r="X495" s="257"/>
      <c r="Y495" s="257"/>
      <c r="Z495" s="257"/>
    </row>
    <row r="496" ht="14.25" customHeight="1">
      <c r="A496" s="257"/>
      <c r="B496" s="257"/>
      <c r="C496" s="257"/>
      <c r="D496" s="257"/>
      <c r="E496" s="257"/>
      <c r="F496" s="257"/>
      <c r="G496" s="257"/>
      <c r="H496" s="257"/>
      <c r="I496" s="257"/>
      <c r="J496" s="257"/>
      <c r="K496" s="257"/>
      <c r="L496" s="257"/>
      <c r="M496" s="257"/>
      <c r="N496" s="257"/>
      <c r="O496" s="257"/>
      <c r="P496" s="257"/>
      <c r="Q496" s="257"/>
      <c r="R496" s="257"/>
      <c r="S496" s="257"/>
      <c r="T496" s="257"/>
      <c r="U496" s="257"/>
      <c r="V496" s="257"/>
      <c r="W496" s="257"/>
      <c r="X496" s="257"/>
      <c r="Y496" s="257"/>
      <c r="Z496" s="257"/>
    </row>
    <row r="497" ht="14.25" customHeight="1">
      <c r="A497" s="257"/>
      <c r="B497" s="257"/>
      <c r="C497" s="257"/>
      <c r="D497" s="257"/>
      <c r="E497" s="257"/>
      <c r="F497" s="257"/>
      <c r="G497" s="257"/>
      <c r="H497" s="257"/>
      <c r="I497" s="257"/>
      <c r="J497" s="257"/>
      <c r="K497" s="257"/>
      <c r="L497" s="257"/>
      <c r="M497" s="257"/>
      <c r="N497" s="257"/>
      <c r="O497" s="257"/>
      <c r="P497" s="257"/>
      <c r="Q497" s="257"/>
      <c r="R497" s="257"/>
      <c r="S497" s="257"/>
      <c r="T497" s="257"/>
      <c r="U497" s="257"/>
      <c r="V497" s="257"/>
      <c r="W497" s="257"/>
      <c r="X497" s="257"/>
      <c r="Y497" s="257"/>
      <c r="Z497" s="257"/>
    </row>
    <row r="498" ht="14.25" customHeight="1">
      <c r="A498" s="257"/>
      <c r="B498" s="257"/>
      <c r="C498" s="257"/>
      <c r="D498" s="257"/>
      <c r="E498" s="257"/>
      <c r="F498" s="257"/>
      <c r="G498" s="257"/>
      <c r="H498" s="257"/>
      <c r="I498" s="257"/>
      <c r="J498" s="257"/>
      <c r="K498" s="257"/>
      <c r="L498" s="257"/>
      <c r="M498" s="257"/>
      <c r="N498" s="257"/>
      <c r="O498" s="257"/>
      <c r="P498" s="257"/>
      <c r="Q498" s="257"/>
      <c r="R498" s="257"/>
      <c r="S498" s="257"/>
      <c r="T498" s="257"/>
      <c r="U498" s="257"/>
      <c r="V498" s="257"/>
      <c r="W498" s="257"/>
      <c r="X498" s="257"/>
      <c r="Y498" s="257"/>
      <c r="Z498" s="257"/>
    </row>
    <row r="499" ht="14.25" customHeight="1">
      <c r="A499" s="257"/>
      <c r="B499" s="257"/>
      <c r="C499" s="257"/>
      <c r="D499" s="257"/>
      <c r="E499" s="257"/>
      <c r="F499" s="257"/>
      <c r="G499" s="257"/>
      <c r="H499" s="257"/>
      <c r="I499" s="257"/>
      <c r="J499" s="257"/>
      <c r="K499" s="257"/>
      <c r="L499" s="257"/>
      <c r="M499" s="257"/>
      <c r="N499" s="257"/>
      <c r="O499" s="257"/>
      <c r="P499" s="257"/>
      <c r="Q499" s="257"/>
      <c r="R499" s="257"/>
      <c r="S499" s="257"/>
      <c r="T499" s="257"/>
      <c r="U499" s="257"/>
      <c r="V499" s="257"/>
      <c r="W499" s="257"/>
      <c r="X499" s="257"/>
      <c r="Y499" s="257"/>
      <c r="Z499" s="257"/>
    </row>
    <row r="500" ht="14.25" customHeight="1">
      <c r="A500" s="257"/>
      <c r="B500" s="257"/>
      <c r="C500" s="257"/>
      <c r="D500" s="257"/>
      <c r="E500" s="257"/>
      <c r="F500" s="257"/>
      <c r="G500" s="257"/>
      <c r="H500" s="257"/>
      <c r="I500" s="257"/>
      <c r="J500" s="257"/>
      <c r="K500" s="257"/>
      <c r="L500" s="257"/>
      <c r="M500" s="257"/>
      <c r="N500" s="257"/>
      <c r="O500" s="257"/>
      <c r="P500" s="257"/>
      <c r="Q500" s="257"/>
      <c r="R500" s="257"/>
      <c r="S500" s="257"/>
      <c r="T500" s="257"/>
      <c r="U500" s="257"/>
      <c r="V500" s="257"/>
      <c r="W500" s="257"/>
      <c r="X500" s="257"/>
      <c r="Y500" s="257"/>
      <c r="Z500" s="257"/>
    </row>
    <row r="501" ht="14.25" customHeight="1">
      <c r="A501" s="257"/>
      <c r="B501" s="257"/>
      <c r="C501" s="257"/>
      <c r="D501" s="257"/>
      <c r="E501" s="257"/>
      <c r="F501" s="257"/>
      <c r="G501" s="257"/>
      <c r="H501" s="257"/>
      <c r="I501" s="257"/>
      <c r="J501" s="257"/>
      <c r="K501" s="257"/>
      <c r="L501" s="257"/>
      <c r="M501" s="257"/>
      <c r="N501" s="257"/>
      <c r="O501" s="257"/>
      <c r="P501" s="257"/>
      <c r="Q501" s="257"/>
      <c r="R501" s="257"/>
      <c r="S501" s="257"/>
      <c r="T501" s="257"/>
      <c r="U501" s="257"/>
      <c r="V501" s="257"/>
      <c r="W501" s="257"/>
      <c r="X501" s="257"/>
      <c r="Y501" s="257"/>
      <c r="Z501" s="257"/>
    </row>
    <row r="502" ht="14.25" customHeight="1">
      <c r="A502" s="257"/>
      <c r="B502" s="257"/>
      <c r="C502" s="257"/>
      <c r="D502" s="257"/>
      <c r="E502" s="257"/>
      <c r="F502" s="257"/>
      <c r="G502" s="257"/>
      <c r="H502" s="257"/>
      <c r="I502" s="257"/>
      <c r="J502" s="257"/>
      <c r="K502" s="257"/>
      <c r="L502" s="257"/>
      <c r="M502" s="257"/>
      <c r="N502" s="257"/>
      <c r="O502" s="257"/>
      <c r="P502" s="257"/>
      <c r="Q502" s="257"/>
      <c r="R502" s="257"/>
      <c r="S502" s="257"/>
      <c r="T502" s="257"/>
      <c r="U502" s="257"/>
      <c r="V502" s="257"/>
      <c r="W502" s="257"/>
      <c r="X502" s="257"/>
      <c r="Y502" s="257"/>
      <c r="Z502" s="257"/>
    </row>
    <row r="503" ht="14.25" customHeight="1">
      <c r="A503" s="257"/>
      <c r="B503" s="257"/>
      <c r="C503" s="257"/>
      <c r="D503" s="257"/>
      <c r="E503" s="257"/>
      <c r="F503" s="257"/>
      <c r="G503" s="257"/>
      <c r="H503" s="257"/>
      <c r="I503" s="257"/>
      <c r="J503" s="257"/>
      <c r="K503" s="257"/>
      <c r="L503" s="257"/>
      <c r="M503" s="257"/>
      <c r="N503" s="257"/>
      <c r="O503" s="257"/>
      <c r="P503" s="257"/>
      <c r="Q503" s="257"/>
      <c r="R503" s="257"/>
      <c r="S503" s="257"/>
      <c r="T503" s="257"/>
      <c r="U503" s="257"/>
      <c r="V503" s="257"/>
      <c r="W503" s="257"/>
      <c r="X503" s="257"/>
      <c r="Y503" s="257"/>
      <c r="Z503" s="257"/>
    </row>
    <row r="504" ht="14.25" customHeight="1">
      <c r="A504" s="257"/>
      <c r="B504" s="257"/>
      <c r="C504" s="257"/>
      <c r="D504" s="257"/>
      <c r="E504" s="257"/>
      <c r="F504" s="257"/>
      <c r="G504" s="257"/>
      <c r="H504" s="257"/>
      <c r="I504" s="257"/>
      <c r="J504" s="257"/>
      <c r="K504" s="257"/>
      <c r="L504" s="257"/>
      <c r="M504" s="257"/>
      <c r="N504" s="257"/>
      <c r="O504" s="257"/>
      <c r="P504" s="257"/>
      <c r="Q504" s="257"/>
      <c r="R504" s="257"/>
      <c r="S504" s="257"/>
      <c r="T504" s="257"/>
      <c r="U504" s="257"/>
      <c r="V504" s="257"/>
      <c r="W504" s="257"/>
      <c r="X504" s="257"/>
      <c r="Y504" s="257"/>
      <c r="Z504" s="257"/>
    </row>
    <row r="505" ht="14.25" customHeight="1">
      <c r="A505" s="257"/>
      <c r="B505" s="257"/>
      <c r="C505" s="257"/>
      <c r="D505" s="257"/>
      <c r="E505" s="257"/>
      <c r="F505" s="257"/>
      <c r="G505" s="257"/>
      <c r="H505" s="257"/>
      <c r="I505" s="257"/>
      <c r="J505" s="257"/>
      <c r="K505" s="257"/>
      <c r="L505" s="257"/>
      <c r="M505" s="257"/>
      <c r="N505" s="257"/>
      <c r="O505" s="257"/>
      <c r="P505" s="257"/>
      <c r="Q505" s="257"/>
      <c r="R505" s="257"/>
      <c r="S505" s="257"/>
      <c r="T505" s="257"/>
      <c r="U505" s="257"/>
      <c r="V505" s="257"/>
      <c r="W505" s="257"/>
      <c r="X505" s="257"/>
      <c r="Y505" s="257"/>
      <c r="Z505" s="257"/>
    </row>
    <row r="506" ht="14.25" customHeight="1">
      <c r="A506" s="257"/>
      <c r="B506" s="257"/>
      <c r="C506" s="257"/>
      <c r="D506" s="257"/>
      <c r="E506" s="257"/>
      <c r="F506" s="257"/>
      <c r="G506" s="257"/>
      <c r="H506" s="257"/>
      <c r="I506" s="257"/>
      <c r="J506" s="257"/>
      <c r="K506" s="257"/>
      <c r="L506" s="257"/>
      <c r="M506" s="257"/>
      <c r="N506" s="257"/>
      <c r="O506" s="257"/>
      <c r="P506" s="257"/>
      <c r="Q506" s="257"/>
      <c r="R506" s="257"/>
      <c r="S506" s="257"/>
      <c r="T506" s="257"/>
      <c r="U506" s="257"/>
      <c r="V506" s="257"/>
      <c r="W506" s="257"/>
      <c r="X506" s="257"/>
      <c r="Y506" s="257"/>
      <c r="Z506" s="257"/>
    </row>
    <row r="507" ht="14.25" customHeight="1">
      <c r="A507" s="257"/>
      <c r="B507" s="257"/>
      <c r="C507" s="257"/>
      <c r="D507" s="257"/>
      <c r="E507" s="257"/>
      <c r="F507" s="257"/>
      <c r="G507" s="257"/>
      <c r="H507" s="257"/>
      <c r="I507" s="257"/>
      <c r="J507" s="257"/>
      <c r="K507" s="257"/>
      <c r="L507" s="257"/>
      <c r="M507" s="257"/>
      <c r="N507" s="257"/>
      <c r="O507" s="257"/>
      <c r="P507" s="257"/>
      <c r="Q507" s="257"/>
      <c r="R507" s="257"/>
      <c r="S507" s="257"/>
      <c r="T507" s="257"/>
      <c r="U507" s="257"/>
      <c r="V507" s="257"/>
      <c r="W507" s="257"/>
      <c r="X507" s="257"/>
      <c r="Y507" s="257"/>
      <c r="Z507" s="257"/>
    </row>
    <row r="508" ht="14.25" customHeight="1">
      <c r="A508" s="257"/>
      <c r="B508" s="257"/>
      <c r="C508" s="257"/>
      <c r="D508" s="257"/>
      <c r="E508" s="257"/>
      <c r="F508" s="257"/>
      <c r="G508" s="257"/>
      <c r="H508" s="257"/>
      <c r="I508" s="257"/>
      <c r="J508" s="257"/>
      <c r="K508" s="257"/>
      <c r="L508" s="257"/>
      <c r="M508" s="257"/>
      <c r="N508" s="257"/>
      <c r="O508" s="257"/>
      <c r="P508" s="257"/>
      <c r="Q508" s="257"/>
      <c r="R508" s="257"/>
      <c r="S508" s="257"/>
      <c r="T508" s="257"/>
      <c r="U508" s="257"/>
      <c r="V508" s="257"/>
      <c r="W508" s="257"/>
      <c r="X508" s="257"/>
      <c r="Y508" s="257"/>
      <c r="Z508" s="257"/>
    </row>
    <row r="509" ht="14.25" customHeight="1">
      <c r="A509" s="257"/>
      <c r="B509" s="257"/>
      <c r="C509" s="257"/>
      <c r="D509" s="257"/>
      <c r="E509" s="257"/>
      <c r="F509" s="257"/>
      <c r="G509" s="257"/>
      <c r="H509" s="257"/>
      <c r="I509" s="257"/>
      <c r="J509" s="257"/>
      <c r="K509" s="257"/>
      <c r="L509" s="257"/>
      <c r="M509" s="257"/>
      <c r="N509" s="257"/>
      <c r="O509" s="257"/>
      <c r="P509" s="257"/>
      <c r="Q509" s="257"/>
      <c r="R509" s="257"/>
      <c r="S509" s="257"/>
      <c r="T509" s="257"/>
      <c r="U509" s="257"/>
      <c r="V509" s="257"/>
      <c r="W509" s="257"/>
      <c r="X509" s="257"/>
      <c r="Y509" s="257"/>
      <c r="Z509" s="257"/>
    </row>
    <row r="510" ht="14.25" customHeight="1">
      <c r="A510" s="257"/>
      <c r="B510" s="257"/>
      <c r="C510" s="257"/>
      <c r="D510" s="257"/>
      <c r="E510" s="257"/>
      <c r="F510" s="257"/>
      <c r="G510" s="257"/>
      <c r="H510" s="257"/>
      <c r="I510" s="257"/>
      <c r="J510" s="257"/>
      <c r="K510" s="257"/>
      <c r="L510" s="257"/>
      <c r="M510" s="257"/>
      <c r="N510" s="257"/>
      <c r="O510" s="257"/>
      <c r="P510" s="257"/>
      <c r="Q510" s="257"/>
      <c r="R510" s="257"/>
      <c r="S510" s="257"/>
      <c r="T510" s="257"/>
      <c r="U510" s="257"/>
      <c r="V510" s="257"/>
      <c r="W510" s="257"/>
      <c r="X510" s="257"/>
      <c r="Y510" s="257"/>
      <c r="Z510" s="257"/>
    </row>
    <row r="511" ht="14.25" customHeight="1">
      <c r="A511" s="257"/>
      <c r="B511" s="257"/>
      <c r="C511" s="257"/>
      <c r="D511" s="257"/>
      <c r="E511" s="257"/>
      <c r="F511" s="257"/>
      <c r="G511" s="257"/>
      <c r="H511" s="257"/>
      <c r="I511" s="257"/>
      <c r="J511" s="257"/>
      <c r="K511" s="257"/>
      <c r="L511" s="257"/>
      <c r="M511" s="257"/>
      <c r="N511" s="257"/>
      <c r="O511" s="257"/>
      <c r="P511" s="257"/>
      <c r="Q511" s="257"/>
      <c r="R511" s="257"/>
      <c r="S511" s="257"/>
      <c r="T511" s="257"/>
      <c r="U511" s="257"/>
      <c r="V511" s="257"/>
      <c r="W511" s="257"/>
      <c r="X511" s="257"/>
      <c r="Y511" s="257"/>
      <c r="Z511" s="257"/>
    </row>
    <row r="512" ht="14.25" customHeight="1">
      <c r="A512" s="257"/>
      <c r="B512" s="257"/>
      <c r="C512" s="257"/>
      <c r="D512" s="257"/>
      <c r="E512" s="257"/>
      <c r="F512" s="257"/>
      <c r="G512" s="257"/>
      <c r="H512" s="257"/>
      <c r="I512" s="257"/>
      <c r="J512" s="257"/>
      <c r="K512" s="257"/>
      <c r="L512" s="257"/>
      <c r="M512" s="257"/>
      <c r="N512" s="257"/>
      <c r="O512" s="257"/>
      <c r="P512" s="257"/>
      <c r="Q512" s="257"/>
      <c r="R512" s="257"/>
      <c r="S512" s="257"/>
      <c r="T512" s="257"/>
      <c r="U512" s="257"/>
      <c r="V512" s="257"/>
      <c r="W512" s="257"/>
      <c r="X512" s="257"/>
      <c r="Y512" s="257"/>
      <c r="Z512" s="257"/>
    </row>
    <row r="513" ht="14.25" customHeight="1">
      <c r="A513" s="257"/>
      <c r="B513" s="257"/>
      <c r="C513" s="257"/>
      <c r="D513" s="257"/>
      <c r="E513" s="257"/>
      <c r="F513" s="257"/>
      <c r="G513" s="257"/>
      <c r="H513" s="257"/>
      <c r="I513" s="257"/>
      <c r="J513" s="257"/>
      <c r="K513" s="257"/>
      <c r="L513" s="257"/>
      <c r="M513" s="257"/>
      <c r="N513" s="257"/>
      <c r="O513" s="257"/>
      <c r="P513" s="257"/>
      <c r="Q513" s="257"/>
      <c r="R513" s="257"/>
      <c r="S513" s="257"/>
      <c r="T513" s="257"/>
      <c r="U513" s="257"/>
      <c r="V513" s="257"/>
      <c r="W513" s="257"/>
      <c r="X513" s="257"/>
      <c r="Y513" s="257"/>
      <c r="Z513" s="257"/>
    </row>
    <row r="514" ht="14.25" customHeight="1">
      <c r="A514" s="257"/>
      <c r="B514" s="257"/>
      <c r="C514" s="257"/>
      <c r="D514" s="257"/>
      <c r="E514" s="257"/>
      <c r="F514" s="257"/>
      <c r="G514" s="257"/>
      <c r="H514" s="257"/>
      <c r="I514" s="257"/>
      <c r="J514" s="257"/>
      <c r="K514" s="257"/>
      <c r="L514" s="257"/>
      <c r="M514" s="257"/>
      <c r="N514" s="257"/>
      <c r="O514" s="257"/>
      <c r="P514" s="257"/>
      <c r="Q514" s="257"/>
      <c r="R514" s="257"/>
      <c r="S514" s="257"/>
      <c r="T514" s="257"/>
      <c r="U514" s="257"/>
      <c r="V514" s="257"/>
      <c r="W514" s="257"/>
      <c r="X514" s="257"/>
      <c r="Y514" s="257"/>
      <c r="Z514" s="257"/>
    </row>
    <row r="515" ht="14.25" customHeight="1">
      <c r="A515" s="257"/>
      <c r="B515" s="257"/>
      <c r="C515" s="257"/>
      <c r="D515" s="257"/>
      <c r="E515" s="257"/>
      <c r="F515" s="257"/>
      <c r="G515" s="257"/>
      <c r="H515" s="257"/>
      <c r="I515" s="257"/>
      <c r="J515" s="257"/>
      <c r="K515" s="257"/>
      <c r="L515" s="257"/>
      <c r="M515" s="257"/>
      <c r="N515" s="257"/>
      <c r="O515" s="257"/>
      <c r="P515" s="257"/>
      <c r="Q515" s="257"/>
      <c r="R515" s="257"/>
      <c r="S515" s="257"/>
      <c r="T515" s="257"/>
      <c r="U515" s="257"/>
      <c r="V515" s="257"/>
      <c r="W515" s="257"/>
      <c r="X515" s="257"/>
      <c r="Y515" s="257"/>
      <c r="Z515" s="257"/>
    </row>
    <row r="516" ht="14.25" customHeight="1">
      <c r="A516" s="257"/>
      <c r="B516" s="257"/>
      <c r="C516" s="257"/>
      <c r="D516" s="257"/>
      <c r="E516" s="257"/>
      <c r="F516" s="257"/>
      <c r="G516" s="257"/>
      <c r="H516" s="257"/>
      <c r="I516" s="257"/>
      <c r="J516" s="257"/>
      <c r="K516" s="257"/>
      <c r="L516" s="257"/>
      <c r="M516" s="257"/>
      <c r="N516" s="257"/>
      <c r="O516" s="257"/>
      <c r="P516" s="257"/>
      <c r="Q516" s="257"/>
      <c r="R516" s="257"/>
      <c r="S516" s="257"/>
      <c r="T516" s="257"/>
      <c r="U516" s="257"/>
      <c r="V516" s="257"/>
      <c r="W516" s="257"/>
      <c r="X516" s="257"/>
      <c r="Y516" s="257"/>
      <c r="Z516" s="257"/>
    </row>
    <row r="517" ht="14.25" customHeight="1">
      <c r="A517" s="257"/>
      <c r="B517" s="257"/>
      <c r="C517" s="257"/>
      <c r="D517" s="257"/>
      <c r="E517" s="257"/>
      <c r="F517" s="257"/>
      <c r="G517" s="257"/>
      <c r="H517" s="257"/>
      <c r="I517" s="257"/>
      <c r="J517" s="257"/>
      <c r="K517" s="257"/>
      <c r="L517" s="257"/>
      <c r="M517" s="257"/>
      <c r="N517" s="257"/>
      <c r="O517" s="257"/>
      <c r="P517" s="257"/>
      <c r="Q517" s="257"/>
      <c r="R517" s="257"/>
      <c r="S517" s="257"/>
      <c r="T517" s="257"/>
      <c r="U517" s="257"/>
      <c r="V517" s="257"/>
      <c r="W517" s="257"/>
      <c r="X517" s="257"/>
      <c r="Y517" s="257"/>
      <c r="Z517" s="257"/>
    </row>
    <row r="518" ht="14.25" customHeight="1">
      <c r="A518" s="257"/>
      <c r="B518" s="257"/>
      <c r="C518" s="257"/>
      <c r="D518" s="257"/>
      <c r="E518" s="257"/>
      <c r="F518" s="257"/>
      <c r="G518" s="257"/>
      <c r="H518" s="257"/>
      <c r="I518" s="257"/>
      <c r="J518" s="257"/>
      <c r="K518" s="257"/>
      <c r="L518" s="257"/>
      <c r="M518" s="257"/>
      <c r="N518" s="257"/>
      <c r="O518" s="257"/>
      <c r="P518" s="257"/>
      <c r="Q518" s="257"/>
      <c r="R518" s="257"/>
      <c r="S518" s="257"/>
      <c r="T518" s="257"/>
      <c r="U518" s="257"/>
      <c r="V518" s="257"/>
      <c r="W518" s="257"/>
      <c r="X518" s="257"/>
      <c r="Y518" s="257"/>
      <c r="Z518" s="257"/>
    </row>
    <row r="519" ht="14.25" customHeight="1">
      <c r="A519" s="257"/>
      <c r="B519" s="257"/>
      <c r="C519" s="257"/>
      <c r="D519" s="257"/>
      <c r="E519" s="257"/>
      <c r="F519" s="257"/>
      <c r="G519" s="257"/>
      <c r="H519" s="257"/>
      <c r="I519" s="257"/>
      <c r="J519" s="257"/>
      <c r="K519" s="257"/>
      <c r="L519" s="257"/>
      <c r="M519" s="257"/>
      <c r="N519" s="257"/>
      <c r="O519" s="257"/>
      <c r="P519" s="257"/>
      <c r="Q519" s="257"/>
      <c r="R519" s="257"/>
      <c r="S519" s="257"/>
      <c r="T519" s="257"/>
      <c r="U519" s="257"/>
      <c r="V519" s="257"/>
      <c r="W519" s="257"/>
      <c r="X519" s="257"/>
      <c r="Y519" s="257"/>
      <c r="Z519" s="257"/>
    </row>
    <row r="520" ht="14.25" customHeight="1">
      <c r="A520" s="257"/>
      <c r="B520" s="257"/>
      <c r="C520" s="257"/>
      <c r="D520" s="257"/>
      <c r="E520" s="257"/>
      <c r="F520" s="257"/>
      <c r="G520" s="257"/>
      <c r="H520" s="257"/>
      <c r="I520" s="257"/>
      <c r="J520" s="257"/>
      <c r="K520" s="257"/>
      <c r="L520" s="257"/>
      <c r="M520" s="257"/>
      <c r="N520" s="257"/>
      <c r="O520" s="257"/>
      <c r="P520" s="257"/>
      <c r="Q520" s="257"/>
      <c r="R520" s="257"/>
      <c r="S520" s="257"/>
      <c r="T520" s="257"/>
      <c r="U520" s="257"/>
      <c r="V520" s="257"/>
      <c r="W520" s="257"/>
      <c r="X520" s="257"/>
      <c r="Y520" s="257"/>
      <c r="Z520" s="257"/>
    </row>
    <row r="521" ht="14.25" customHeight="1">
      <c r="A521" s="257"/>
      <c r="B521" s="257"/>
      <c r="C521" s="257"/>
      <c r="D521" s="257"/>
      <c r="E521" s="257"/>
      <c r="F521" s="257"/>
      <c r="G521" s="257"/>
      <c r="H521" s="257"/>
      <c r="I521" s="257"/>
      <c r="J521" s="257"/>
      <c r="K521" s="257"/>
      <c r="L521" s="257"/>
      <c r="M521" s="257"/>
      <c r="N521" s="257"/>
      <c r="O521" s="257"/>
      <c r="P521" s="257"/>
      <c r="Q521" s="257"/>
      <c r="R521" s="257"/>
      <c r="S521" s="257"/>
      <c r="T521" s="257"/>
      <c r="U521" s="257"/>
      <c r="V521" s="257"/>
      <c r="W521" s="257"/>
      <c r="X521" s="257"/>
      <c r="Y521" s="257"/>
      <c r="Z521" s="257"/>
    </row>
    <row r="522" ht="14.25" customHeight="1">
      <c r="A522" s="257"/>
      <c r="B522" s="257"/>
      <c r="C522" s="257"/>
      <c r="D522" s="257"/>
      <c r="E522" s="257"/>
      <c r="F522" s="257"/>
      <c r="G522" s="257"/>
      <c r="H522" s="257"/>
      <c r="I522" s="257"/>
      <c r="J522" s="257"/>
      <c r="K522" s="257"/>
      <c r="L522" s="257"/>
      <c r="M522" s="257"/>
      <c r="N522" s="257"/>
      <c r="O522" s="257"/>
      <c r="P522" s="257"/>
      <c r="Q522" s="257"/>
      <c r="R522" s="257"/>
      <c r="S522" s="257"/>
      <c r="T522" s="257"/>
      <c r="U522" s="257"/>
      <c r="V522" s="257"/>
      <c r="W522" s="257"/>
      <c r="X522" s="257"/>
      <c r="Y522" s="257"/>
      <c r="Z522" s="257"/>
    </row>
    <row r="523" ht="14.25" customHeight="1">
      <c r="A523" s="257"/>
      <c r="B523" s="257"/>
      <c r="C523" s="257"/>
      <c r="D523" s="257"/>
      <c r="E523" s="257"/>
      <c r="F523" s="257"/>
      <c r="G523" s="257"/>
      <c r="H523" s="257"/>
      <c r="I523" s="257"/>
      <c r="J523" s="257"/>
      <c r="K523" s="257"/>
      <c r="L523" s="257"/>
      <c r="M523" s="257"/>
      <c r="N523" s="257"/>
      <c r="O523" s="257"/>
      <c r="P523" s="257"/>
      <c r="Q523" s="257"/>
      <c r="R523" s="257"/>
      <c r="S523" s="257"/>
      <c r="T523" s="257"/>
      <c r="U523" s="257"/>
      <c r="V523" s="257"/>
      <c r="W523" s="257"/>
      <c r="X523" s="257"/>
      <c r="Y523" s="257"/>
      <c r="Z523" s="257"/>
    </row>
    <row r="524" ht="14.25" customHeight="1">
      <c r="A524" s="257"/>
      <c r="B524" s="257"/>
      <c r="C524" s="257"/>
      <c r="D524" s="257"/>
      <c r="E524" s="257"/>
      <c r="F524" s="257"/>
      <c r="G524" s="257"/>
      <c r="H524" s="257"/>
      <c r="I524" s="257"/>
      <c r="J524" s="257"/>
      <c r="K524" s="257"/>
      <c r="L524" s="257"/>
      <c r="M524" s="257"/>
      <c r="N524" s="257"/>
      <c r="O524" s="257"/>
      <c r="P524" s="257"/>
      <c r="Q524" s="257"/>
      <c r="R524" s="257"/>
      <c r="S524" s="257"/>
      <c r="T524" s="257"/>
      <c r="U524" s="257"/>
      <c r="V524" s="257"/>
      <c r="W524" s="257"/>
      <c r="X524" s="257"/>
      <c r="Y524" s="257"/>
      <c r="Z524" s="257"/>
    </row>
    <row r="525" ht="14.25" customHeight="1">
      <c r="A525" s="257"/>
      <c r="B525" s="257"/>
      <c r="C525" s="257"/>
      <c r="D525" s="257"/>
      <c r="E525" s="257"/>
      <c r="F525" s="257"/>
      <c r="G525" s="257"/>
      <c r="H525" s="257"/>
      <c r="I525" s="257"/>
      <c r="J525" s="257"/>
      <c r="K525" s="257"/>
      <c r="L525" s="257"/>
      <c r="M525" s="257"/>
      <c r="N525" s="257"/>
      <c r="O525" s="257"/>
      <c r="P525" s="257"/>
      <c r="Q525" s="257"/>
      <c r="R525" s="257"/>
      <c r="S525" s="257"/>
      <c r="T525" s="257"/>
      <c r="U525" s="257"/>
      <c r="V525" s="257"/>
      <c r="W525" s="257"/>
      <c r="X525" s="257"/>
      <c r="Y525" s="257"/>
      <c r="Z525" s="257"/>
    </row>
    <row r="526" ht="14.25" customHeight="1">
      <c r="A526" s="257"/>
      <c r="B526" s="257"/>
      <c r="C526" s="257"/>
      <c r="D526" s="257"/>
      <c r="E526" s="257"/>
      <c r="F526" s="257"/>
      <c r="G526" s="257"/>
      <c r="H526" s="257"/>
      <c r="I526" s="257"/>
      <c r="J526" s="257"/>
      <c r="K526" s="257"/>
      <c r="L526" s="257"/>
      <c r="M526" s="257"/>
      <c r="N526" s="257"/>
      <c r="O526" s="257"/>
      <c r="P526" s="257"/>
      <c r="Q526" s="257"/>
      <c r="R526" s="257"/>
      <c r="S526" s="257"/>
      <c r="T526" s="257"/>
      <c r="U526" s="257"/>
      <c r="V526" s="257"/>
      <c r="W526" s="257"/>
      <c r="X526" s="257"/>
      <c r="Y526" s="257"/>
      <c r="Z526" s="257"/>
    </row>
    <row r="527" ht="14.25" customHeight="1">
      <c r="A527" s="257"/>
      <c r="B527" s="257"/>
      <c r="C527" s="257"/>
      <c r="D527" s="257"/>
      <c r="E527" s="257"/>
      <c r="F527" s="257"/>
      <c r="G527" s="257"/>
      <c r="H527" s="257"/>
      <c r="I527" s="257"/>
      <c r="J527" s="257"/>
      <c r="K527" s="257"/>
      <c r="L527" s="257"/>
      <c r="M527" s="257"/>
      <c r="N527" s="257"/>
      <c r="O527" s="257"/>
      <c r="P527" s="257"/>
      <c r="Q527" s="257"/>
      <c r="R527" s="257"/>
      <c r="S527" s="257"/>
      <c r="T527" s="257"/>
      <c r="U527" s="257"/>
      <c r="V527" s="257"/>
      <c r="W527" s="257"/>
      <c r="X527" s="257"/>
      <c r="Y527" s="257"/>
      <c r="Z527" s="257"/>
    </row>
    <row r="528" ht="14.25" customHeight="1">
      <c r="A528" s="257"/>
      <c r="B528" s="257"/>
      <c r="C528" s="257"/>
      <c r="D528" s="257"/>
      <c r="E528" s="257"/>
      <c r="F528" s="257"/>
      <c r="G528" s="257"/>
      <c r="H528" s="257"/>
      <c r="I528" s="257"/>
      <c r="J528" s="257"/>
      <c r="K528" s="257"/>
      <c r="L528" s="257"/>
      <c r="M528" s="257"/>
      <c r="N528" s="257"/>
      <c r="O528" s="257"/>
      <c r="P528" s="257"/>
      <c r="Q528" s="257"/>
      <c r="R528" s="257"/>
      <c r="S528" s="257"/>
      <c r="T528" s="257"/>
      <c r="U528" s="257"/>
      <c r="V528" s="257"/>
      <c r="W528" s="257"/>
      <c r="X528" s="257"/>
      <c r="Y528" s="257"/>
      <c r="Z528" s="257"/>
    </row>
    <row r="529" ht="14.25" customHeight="1">
      <c r="A529" s="257"/>
      <c r="B529" s="257"/>
      <c r="C529" s="257"/>
      <c r="D529" s="257"/>
      <c r="E529" s="257"/>
      <c r="F529" s="257"/>
      <c r="G529" s="257"/>
      <c r="H529" s="257"/>
      <c r="I529" s="257"/>
      <c r="J529" s="257"/>
      <c r="K529" s="257"/>
      <c r="L529" s="257"/>
      <c r="M529" s="257"/>
      <c r="N529" s="257"/>
      <c r="O529" s="257"/>
      <c r="P529" s="257"/>
      <c r="Q529" s="257"/>
      <c r="R529" s="257"/>
      <c r="S529" s="257"/>
      <c r="T529" s="257"/>
      <c r="U529" s="257"/>
      <c r="V529" s="257"/>
      <c r="W529" s="257"/>
      <c r="X529" s="257"/>
      <c r="Y529" s="257"/>
      <c r="Z529" s="257"/>
    </row>
    <row r="530" ht="14.25" customHeight="1">
      <c r="A530" s="257"/>
      <c r="B530" s="257"/>
      <c r="C530" s="257"/>
      <c r="D530" s="257"/>
      <c r="E530" s="257"/>
      <c r="F530" s="257"/>
      <c r="G530" s="257"/>
      <c r="H530" s="257"/>
      <c r="I530" s="257"/>
      <c r="J530" s="257"/>
      <c r="K530" s="257"/>
      <c r="L530" s="257"/>
      <c r="M530" s="257"/>
      <c r="N530" s="257"/>
      <c r="O530" s="257"/>
      <c r="P530" s="257"/>
      <c r="Q530" s="257"/>
      <c r="R530" s="257"/>
      <c r="S530" s="257"/>
      <c r="T530" s="257"/>
      <c r="U530" s="257"/>
      <c r="V530" s="257"/>
      <c r="W530" s="257"/>
      <c r="X530" s="257"/>
      <c r="Y530" s="257"/>
      <c r="Z530" s="257"/>
    </row>
    <row r="531" ht="14.25" customHeight="1">
      <c r="A531" s="257"/>
      <c r="B531" s="257"/>
      <c r="C531" s="257"/>
      <c r="D531" s="257"/>
      <c r="E531" s="257"/>
      <c r="F531" s="257"/>
      <c r="G531" s="257"/>
      <c r="H531" s="257"/>
      <c r="I531" s="257"/>
      <c r="J531" s="257"/>
      <c r="K531" s="257"/>
      <c r="L531" s="257"/>
      <c r="M531" s="257"/>
      <c r="N531" s="257"/>
      <c r="O531" s="257"/>
      <c r="P531" s="257"/>
      <c r="Q531" s="257"/>
      <c r="R531" s="257"/>
      <c r="S531" s="257"/>
      <c r="T531" s="257"/>
      <c r="U531" s="257"/>
      <c r="V531" s="257"/>
      <c r="W531" s="257"/>
      <c r="X531" s="257"/>
      <c r="Y531" s="257"/>
      <c r="Z531" s="257"/>
    </row>
    <row r="532" ht="14.25" customHeight="1">
      <c r="A532" s="257"/>
      <c r="B532" s="257"/>
      <c r="C532" s="257"/>
      <c r="D532" s="257"/>
      <c r="E532" s="257"/>
      <c r="F532" s="257"/>
      <c r="G532" s="257"/>
      <c r="H532" s="257"/>
      <c r="I532" s="257"/>
      <c r="J532" s="257"/>
      <c r="K532" s="257"/>
      <c r="L532" s="257"/>
      <c r="M532" s="257"/>
      <c r="N532" s="257"/>
      <c r="O532" s="257"/>
      <c r="P532" s="257"/>
      <c r="Q532" s="257"/>
      <c r="R532" s="257"/>
      <c r="S532" s="257"/>
      <c r="T532" s="257"/>
      <c r="U532" s="257"/>
      <c r="V532" s="257"/>
      <c r="W532" s="257"/>
      <c r="X532" s="257"/>
      <c r="Y532" s="257"/>
      <c r="Z532" s="257"/>
    </row>
    <row r="533" ht="14.25" customHeight="1">
      <c r="A533" s="257"/>
      <c r="B533" s="257"/>
      <c r="C533" s="257"/>
      <c r="D533" s="257"/>
      <c r="E533" s="257"/>
      <c r="F533" s="257"/>
      <c r="G533" s="257"/>
      <c r="H533" s="257"/>
      <c r="I533" s="257"/>
      <c r="J533" s="257"/>
      <c r="K533" s="257"/>
      <c r="L533" s="257"/>
      <c r="M533" s="257"/>
      <c r="N533" s="257"/>
      <c r="O533" s="257"/>
      <c r="P533" s="257"/>
      <c r="Q533" s="257"/>
      <c r="R533" s="257"/>
      <c r="S533" s="257"/>
      <c r="T533" s="257"/>
      <c r="U533" s="257"/>
      <c r="V533" s="257"/>
      <c r="W533" s="257"/>
      <c r="X533" s="257"/>
      <c r="Y533" s="257"/>
      <c r="Z533" s="257"/>
    </row>
    <row r="534" ht="14.25" customHeight="1">
      <c r="A534" s="257"/>
      <c r="B534" s="257"/>
      <c r="C534" s="257"/>
      <c r="D534" s="257"/>
      <c r="E534" s="257"/>
      <c r="F534" s="257"/>
      <c r="G534" s="257"/>
      <c r="H534" s="257"/>
      <c r="I534" s="257"/>
      <c r="J534" s="257"/>
      <c r="K534" s="257"/>
      <c r="L534" s="257"/>
      <c r="M534" s="257"/>
      <c r="N534" s="257"/>
      <c r="O534" s="257"/>
      <c r="P534" s="257"/>
      <c r="Q534" s="257"/>
      <c r="R534" s="257"/>
      <c r="S534" s="257"/>
      <c r="T534" s="257"/>
      <c r="U534" s="257"/>
      <c r="V534" s="257"/>
      <c r="W534" s="257"/>
      <c r="X534" s="257"/>
      <c r="Y534" s="257"/>
      <c r="Z534" s="257"/>
    </row>
    <row r="535" ht="14.25" customHeight="1">
      <c r="A535" s="257"/>
      <c r="B535" s="257"/>
      <c r="C535" s="257"/>
      <c r="D535" s="257"/>
      <c r="E535" s="257"/>
      <c r="F535" s="257"/>
      <c r="G535" s="257"/>
      <c r="H535" s="257"/>
      <c r="I535" s="257"/>
      <c r="J535" s="257"/>
      <c r="K535" s="257"/>
      <c r="L535" s="257"/>
      <c r="M535" s="257"/>
      <c r="N535" s="257"/>
      <c r="O535" s="257"/>
      <c r="P535" s="257"/>
      <c r="Q535" s="257"/>
      <c r="R535" s="257"/>
      <c r="S535" s="257"/>
      <c r="T535" s="257"/>
      <c r="U535" s="257"/>
      <c r="V535" s="257"/>
      <c r="W535" s="257"/>
      <c r="X535" s="257"/>
      <c r="Y535" s="257"/>
      <c r="Z535" s="257"/>
    </row>
    <row r="536" ht="14.25" customHeight="1">
      <c r="A536" s="257"/>
      <c r="B536" s="257"/>
      <c r="C536" s="257"/>
      <c r="D536" s="257"/>
      <c r="E536" s="257"/>
      <c r="F536" s="257"/>
      <c r="G536" s="257"/>
      <c r="H536" s="257"/>
      <c r="I536" s="257"/>
      <c r="J536" s="257"/>
      <c r="K536" s="257"/>
      <c r="L536" s="257"/>
      <c r="M536" s="257"/>
      <c r="N536" s="257"/>
      <c r="O536" s="257"/>
      <c r="P536" s="257"/>
      <c r="Q536" s="257"/>
      <c r="R536" s="257"/>
      <c r="S536" s="257"/>
      <c r="T536" s="257"/>
      <c r="U536" s="257"/>
      <c r="V536" s="257"/>
      <c r="W536" s="257"/>
      <c r="X536" s="257"/>
      <c r="Y536" s="257"/>
      <c r="Z536" s="257"/>
    </row>
    <row r="537" ht="14.25" customHeight="1">
      <c r="A537" s="257"/>
      <c r="B537" s="257"/>
      <c r="C537" s="257"/>
      <c r="D537" s="257"/>
      <c r="E537" s="257"/>
      <c r="F537" s="257"/>
      <c r="G537" s="257"/>
      <c r="H537" s="257"/>
      <c r="I537" s="257"/>
      <c r="J537" s="257"/>
      <c r="K537" s="257"/>
      <c r="L537" s="257"/>
      <c r="M537" s="257"/>
      <c r="N537" s="257"/>
      <c r="O537" s="257"/>
      <c r="P537" s="257"/>
      <c r="Q537" s="257"/>
      <c r="R537" s="257"/>
      <c r="S537" s="257"/>
      <c r="T537" s="257"/>
      <c r="U537" s="257"/>
      <c r="V537" s="257"/>
      <c r="W537" s="257"/>
      <c r="X537" s="257"/>
      <c r="Y537" s="257"/>
      <c r="Z537" s="257"/>
    </row>
    <row r="538" ht="14.25" customHeight="1">
      <c r="A538" s="257"/>
      <c r="B538" s="257"/>
      <c r="C538" s="257"/>
      <c r="D538" s="257"/>
      <c r="E538" s="257"/>
      <c r="F538" s="257"/>
      <c r="G538" s="257"/>
      <c r="H538" s="257"/>
      <c r="I538" s="257"/>
      <c r="J538" s="257"/>
      <c r="K538" s="257"/>
      <c r="L538" s="257"/>
      <c r="M538" s="257"/>
      <c r="N538" s="257"/>
      <c r="O538" s="257"/>
      <c r="P538" s="257"/>
      <c r="Q538" s="257"/>
      <c r="R538" s="257"/>
      <c r="S538" s="257"/>
      <c r="T538" s="257"/>
      <c r="U538" s="257"/>
      <c r="V538" s="257"/>
      <c r="W538" s="257"/>
      <c r="X538" s="257"/>
      <c r="Y538" s="257"/>
      <c r="Z538" s="257"/>
    </row>
    <row r="539" ht="14.25" customHeight="1">
      <c r="A539" s="257"/>
      <c r="B539" s="257"/>
      <c r="C539" s="257"/>
      <c r="D539" s="257"/>
      <c r="E539" s="257"/>
      <c r="F539" s="257"/>
      <c r="G539" s="257"/>
      <c r="H539" s="257"/>
      <c r="I539" s="257"/>
      <c r="J539" s="257"/>
      <c r="K539" s="257"/>
      <c r="L539" s="257"/>
      <c r="M539" s="257"/>
      <c r="N539" s="257"/>
      <c r="O539" s="257"/>
      <c r="P539" s="257"/>
      <c r="Q539" s="257"/>
      <c r="R539" s="257"/>
      <c r="S539" s="257"/>
      <c r="T539" s="257"/>
      <c r="U539" s="257"/>
      <c r="V539" s="257"/>
      <c r="W539" s="257"/>
      <c r="X539" s="257"/>
      <c r="Y539" s="257"/>
      <c r="Z539" s="257"/>
    </row>
    <row r="540" ht="14.25" customHeight="1">
      <c r="A540" s="257"/>
      <c r="B540" s="257"/>
      <c r="C540" s="257"/>
      <c r="D540" s="257"/>
      <c r="E540" s="257"/>
      <c r="F540" s="257"/>
      <c r="G540" s="257"/>
      <c r="H540" s="257"/>
      <c r="I540" s="257"/>
      <c r="J540" s="257"/>
      <c r="K540" s="257"/>
      <c r="L540" s="257"/>
      <c r="M540" s="257"/>
      <c r="N540" s="257"/>
      <c r="O540" s="257"/>
      <c r="P540" s="257"/>
      <c r="Q540" s="257"/>
      <c r="R540" s="257"/>
      <c r="S540" s="257"/>
      <c r="T540" s="257"/>
      <c r="U540" s="257"/>
      <c r="V540" s="257"/>
      <c r="W540" s="257"/>
      <c r="X540" s="257"/>
      <c r="Y540" s="257"/>
      <c r="Z540" s="257"/>
    </row>
    <row r="541" ht="14.25" customHeight="1">
      <c r="A541" s="257"/>
      <c r="B541" s="257"/>
      <c r="C541" s="257"/>
      <c r="D541" s="257"/>
      <c r="E541" s="257"/>
      <c r="F541" s="257"/>
      <c r="G541" s="257"/>
      <c r="H541" s="257"/>
      <c r="I541" s="257"/>
      <c r="J541" s="257"/>
      <c r="K541" s="257"/>
      <c r="L541" s="257"/>
      <c r="M541" s="257"/>
      <c r="N541" s="257"/>
      <c r="O541" s="257"/>
      <c r="P541" s="257"/>
      <c r="Q541" s="257"/>
      <c r="R541" s="257"/>
      <c r="S541" s="257"/>
      <c r="T541" s="257"/>
      <c r="U541" s="257"/>
      <c r="V541" s="257"/>
      <c r="W541" s="257"/>
      <c r="X541" s="257"/>
      <c r="Y541" s="257"/>
      <c r="Z541" s="257"/>
    </row>
    <row r="542" ht="14.25" customHeight="1">
      <c r="A542" s="257"/>
      <c r="B542" s="257"/>
      <c r="C542" s="257"/>
      <c r="D542" s="257"/>
      <c r="E542" s="257"/>
      <c r="F542" s="257"/>
      <c r="G542" s="257"/>
      <c r="H542" s="257"/>
      <c r="I542" s="257"/>
      <c r="J542" s="257"/>
      <c r="K542" s="257"/>
      <c r="L542" s="257"/>
      <c r="M542" s="257"/>
      <c r="N542" s="257"/>
      <c r="O542" s="257"/>
      <c r="P542" s="257"/>
      <c r="Q542" s="257"/>
      <c r="R542" s="257"/>
      <c r="S542" s="257"/>
      <c r="T542" s="257"/>
      <c r="U542" s="257"/>
      <c r="V542" s="257"/>
      <c r="W542" s="257"/>
      <c r="X542" s="257"/>
      <c r="Y542" s="257"/>
      <c r="Z542" s="257"/>
    </row>
    <row r="543" ht="14.25" customHeight="1">
      <c r="A543" s="257"/>
      <c r="B543" s="257"/>
      <c r="C543" s="257"/>
      <c r="D543" s="257"/>
      <c r="E543" s="257"/>
      <c r="F543" s="257"/>
      <c r="G543" s="257"/>
      <c r="H543" s="257"/>
      <c r="I543" s="257"/>
      <c r="J543" s="257"/>
      <c r="K543" s="257"/>
      <c r="L543" s="257"/>
      <c r="M543" s="257"/>
      <c r="N543" s="257"/>
      <c r="O543" s="257"/>
      <c r="P543" s="257"/>
      <c r="Q543" s="257"/>
      <c r="R543" s="257"/>
      <c r="S543" s="257"/>
      <c r="T543" s="257"/>
      <c r="U543" s="257"/>
      <c r="V543" s="257"/>
      <c r="W543" s="257"/>
      <c r="X543" s="257"/>
      <c r="Y543" s="257"/>
      <c r="Z543" s="257"/>
    </row>
    <row r="544" ht="14.25" customHeight="1">
      <c r="A544" s="257"/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57"/>
      <c r="Q544" s="257"/>
      <c r="R544" s="257"/>
      <c r="S544" s="257"/>
      <c r="T544" s="257"/>
      <c r="U544" s="257"/>
      <c r="V544" s="257"/>
      <c r="W544" s="257"/>
      <c r="X544" s="257"/>
      <c r="Y544" s="257"/>
      <c r="Z544" s="257"/>
    </row>
    <row r="545" ht="14.25" customHeight="1">
      <c r="A545" s="257"/>
      <c r="B545" s="257"/>
      <c r="C545" s="257"/>
      <c r="D545" s="257"/>
      <c r="E545" s="257"/>
      <c r="F545" s="257"/>
      <c r="G545" s="257"/>
      <c r="H545" s="257"/>
      <c r="I545" s="257"/>
      <c r="J545" s="257"/>
      <c r="K545" s="257"/>
      <c r="L545" s="257"/>
      <c r="M545" s="257"/>
      <c r="N545" s="257"/>
      <c r="O545" s="257"/>
      <c r="P545" s="257"/>
      <c r="Q545" s="257"/>
      <c r="R545" s="257"/>
      <c r="S545" s="257"/>
      <c r="T545" s="257"/>
      <c r="U545" s="257"/>
      <c r="V545" s="257"/>
      <c r="W545" s="257"/>
      <c r="X545" s="257"/>
      <c r="Y545" s="257"/>
      <c r="Z545" s="257"/>
    </row>
    <row r="546" ht="14.25" customHeight="1">
      <c r="A546" s="257"/>
      <c r="B546" s="257"/>
      <c r="C546" s="257"/>
      <c r="D546" s="257"/>
      <c r="E546" s="257"/>
      <c r="F546" s="257"/>
      <c r="G546" s="257"/>
      <c r="H546" s="257"/>
      <c r="I546" s="257"/>
      <c r="J546" s="257"/>
      <c r="K546" s="257"/>
      <c r="L546" s="257"/>
      <c r="M546" s="257"/>
      <c r="N546" s="257"/>
      <c r="O546" s="257"/>
      <c r="P546" s="257"/>
      <c r="Q546" s="257"/>
      <c r="R546" s="257"/>
      <c r="S546" s="257"/>
      <c r="T546" s="257"/>
      <c r="U546" s="257"/>
      <c r="V546" s="257"/>
      <c r="W546" s="257"/>
      <c r="X546" s="257"/>
      <c r="Y546" s="257"/>
      <c r="Z546" s="257"/>
    </row>
    <row r="547" ht="14.25" customHeight="1">
      <c r="A547" s="257"/>
      <c r="B547" s="257"/>
      <c r="C547" s="257"/>
      <c r="D547" s="257"/>
      <c r="E547" s="257"/>
      <c r="F547" s="257"/>
      <c r="G547" s="257"/>
      <c r="H547" s="257"/>
      <c r="I547" s="257"/>
      <c r="J547" s="257"/>
      <c r="K547" s="257"/>
      <c r="L547" s="257"/>
      <c r="M547" s="257"/>
      <c r="N547" s="257"/>
      <c r="O547" s="257"/>
      <c r="P547" s="257"/>
      <c r="Q547" s="257"/>
      <c r="R547" s="257"/>
      <c r="S547" s="257"/>
      <c r="T547" s="257"/>
      <c r="U547" s="257"/>
      <c r="V547" s="257"/>
      <c r="W547" s="257"/>
      <c r="X547" s="257"/>
      <c r="Y547" s="257"/>
      <c r="Z547" s="257"/>
    </row>
    <row r="548" ht="14.25" customHeight="1">
      <c r="A548" s="257"/>
      <c r="B548" s="257"/>
      <c r="C548" s="257"/>
      <c r="D548" s="257"/>
      <c r="E548" s="257"/>
      <c r="F548" s="257"/>
      <c r="G548" s="257"/>
      <c r="H548" s="257"/>
      <c r="I548" s="257"/>
      <c r="J548" s="257"/>
      <c r="K548" s="257"/>
      <c r="L548" s="257"/>
      <c r="M548" s="257"/>
      <c r="N548" s="257"/>
      <c r="O548" s="257"/>
      <c r="P548" s="257"/>
      <c r="Q548" s="257"/>
      <c r="R548" s="257"/>
      <c r="S548" s="257"/>
      <c r="T548" s="257"/>
      <c r="U548" s="257"/>
      <c r="V548" s="257"/>
      <c r="W548" s="257"/>
      <c r="X548" s="257"/>
      <c r="Y548" s="257"/>
      <c r="Z548" s="257"/>
    </row>
    <row r="549" ht="14.25" customHeight="1">
      <c r="A549" s="257"/>
      <c r="B549" s="257"/>
      <c r="C549" s="257"/>
      <c r="D549" s="257"/>
      <c r="E549" s="257"/>
      <c r="F549" s="257"/>
      <c r="G549" s="257"/>
      <c r="H549" s="257"/>
      <c r="I549" s="257"/>
      <c r="J549" s="257"/>
      <c r="K549" s="257"/>
      <c r="L549" s="257"/>
      <c r="M549" s="257"/>
      <c r="N549" s="257"/>
      <c r="O549" s="257"/>
      <c r="P549" s="257"/>
      <c r="Q549" s="257"/>
      <c r="R549" s="257"/>
      <c r="S549" s="257"/>
      <c r="T549" s="257"/>
      <c r="U549" s="257"/>
      <c r="V549" s="257"/>
      <c r="W549" s="257"/>
      <c r="X549" s="257"/>
      <c r="Y549" s="257"/>
      <c r="Z549" s="257"/>
    </row>
    <row r="550" ht="14.25" customHeight="1">
      <c r="A550" s="257"/>
      <c r="B550" s="257"/>
      <c r="C550" s="257"/>
      <c r="D550" s="257"/>
      <c r="E550" s="257"/>
      <c r="F550" s="257"/>
      <c r="G550" s="257"/>
      <c r="H550" s="257"/>
      <c r="I550" s="257"/>
      <c r="J550" s="257"/>
      <c r="K550" s="257"/>
      <c r="L550" s="257"/>
      <c r="M550" s="257"/>
      <c r="N550" s="257"/>
      <c r="O550" s="257"/>
      <c r="P550" s="257"/>
      <c r="Q550" s="257"/>
      <c r="R550" s="257"/>
      <c r="S550" s="257"/>
      <c r="T550" s="257"/>
      <c r="U550" s="257"/>
      <c r="V550" s="257"/>
      <c r="W550" s="257"/>
      <c r="X550" s="257"/>
      <c r="Y550" s="257"/>
      <c r="Z550" s="257"/>
    </row>
    <row r="551" ht="14.25" customHeight="1">
      <c r="A551" s="257"/>
      <c r="B551" s="257"/>
      <c r="C551" s="257"/>
      <c r="D551" s="257"/>
      <c r="E551" s="257"/>
      <c r="F551" s="257"/>
      <c r="G551" s="257"/>
      <c r="H551" s="257"/>
      <c r="I551" s="257"/>
      <c r="J551" s="257"/>
      <c r="K551" s="257"/>
      <c r="L551" s="257"/>
      <c r="M551" s="257"/>
      <c r="N551" s="257"/>
      <c r="O551" s="257"/>
      <c r="P551" s="257"/>
      <c r="Q551" s="257"/>
      <c r="R551" s="257"/>
      <c r="S551" s="257"/>
      <c r="T551" s="257"/>
      <c r="U551" s="257"/>
      <c r="V551" s="257"/>
      <c r="W551" s="257"/>
      <c r="X551" s="257"/>
      <c r="Y551" s="257"/>
      <c r="Z551" s="257"/>
    </row>
    <row r="552" ht="14.25" customHeight="1">
      <c r="A552" s="257"/>
      <c r="B552" s="257"/>
      <c r="C552" s="257"/>
      <c r="D552" s="257"/>
      <c r="E552" s="257"/>
      <c r="F552" s="257"/>
      <c r="G552" s="257"/>
      <c r="H552" s="257"/>
      <c r="I552" s="257"/>
      <c r="J552" s="257"/>
      <c r="K552" s="257"/>
      <c r="L552" s="257"/>
      <c r="M552" s="257"/>
      <c r="N552" s="257"/>
      <c r="O552" s="257"/>
      <c r="P552" s="257"/>
      <c r="Q552" s="257"/>
      <c r="R552" s="257"/>
      <c r="S552" s="257"/>
      <c r="T552" s="257"/>
      <c r="U552" s="257"/>
      <c r="V552" s="257"/>
      <c r="W552" s="257"/>
      <c r="X552" s="257"/>
      <c r="Y552" s="257"/>
      <c r="Z552" s="257"/>
    </row>
    <row r="553" ht="14.25" customHeight="1">
      <c r="A553" s="257"/>
      <c r="B553" s="257"/>
      <c r="C553" s="257"/>
      <c r="D553" s="257"/>
      <c r="E553" s="257"/>
      <c r="F553" s="257"/>
      <c r="G553" s="257"/>
      <c r="H553" s="257"/>
      <c r="I553" s="257"/>
      <c r="J553" s="257"/>
      <c r="K553" s="257"/>
      <c r="L553" s="257"/>
      <c r="M553" s="257"/>
      <c r="N553" s="257"/>
      <c r="O553" s="257"/>
      <c r="P553" s="257"/>
      <c r="Q553" s="257"/>
      <c r="R553" s="257"/>
      <c r="S553" s="257"/>
      <c r="T553" s="257"/>
      <c r="U553" s="257"/>
      <c r="V553" s="257"/>
      <c r="W553" s="257"/>
      <c r="X553" s="257"/>
      <c r="Y553" s="257"/>
      <c r="Z553" s="257"/>
    </row>
    <row r="554" ht="14.25" customHeight="1">
      <c r="A554" s="257"/>
      <c r="B554" s="257"/>
      <c r="C554" s="257"/>
      <c r="D554" s="257"/>
      <c r="E554" s="257"/>
      <c r="F554" s="257"/>
      <c r="G554" s="257"/>
      <c r="H554" s="257"/>
      <c r="I554" s="257"/>
      <c r="J554" s="257"/>
      <c r="K554" s="257"/>
      <c r="L554" s="257"/>
      <c r="M554" s="257"/>
      <c r="N554" s="257"/>
      <c r="O554" s="257"/>
      <c r="P554" s="257"/>
      <c r="Q554" s="257"/>
      <c r="R554" s="257"/>
      <c r="S554" s="257"/>
      <c r="T554" s="257"/>
      <c r="U554" s="257"/>
      <c r="V554" s="257"/>
      <c r="W554" s="257"/>
      <c r="X554" s="257"/>
      <c r="Y554" s="257"/>
      <c r="Z554" s="257"/>
    </row>
    <row r="555" ht="14.25" customHeight="1">
      <c r="A555" s="257"/>
      <c r="B555" s="257"/>
      <c r="C555" s="257"/>
      <c r="D555" s="257"/>
      <c r="E555" s="257"/>
      <c r="F555" s="257"/>
      <c r="G555" s="257"/>
      <c r="H555" s="257"/>
      <c r="I555" s="257"/>
      <c r="J555" s="257"/>
      <c r="K555" s="257"/>
      <c r="L555" s="257"/>
      <c r="M555" s="257"/>
      <c r="N555" s="257"/>
      <c r="O555" s="257"/>
      <c r="P555" s="257"/>
      <c r="Q555" s="257"/>
      <c r="R555" s="257"/>
      <c r="S555" s="257"/>
      <c r="T555" s="257"/>
      <c r="U555" s="257"/>
      <c r="V555" s="257"/>
      <c r="W555" s="257"/>
      <c r="X555" s="257"/>
      <c r="Y555" s="257"/>
      <c r="Z555" s="257"/>
    </row>
    <row r="556" ht="14.25" customHeight="1">
      <c r="A556" s="257"/>
      <c r="B556" s="257"/>
      <c r="C556" s="257"/>
      <c r="D556" s="257"/>
      <c r="E556" s="257"/>
      <c r="F556" s="257"/>
      <c r="G556" s="257"/>
      <c r="H556" s="257"/>
      <c r="I556" s="257"/>
      <c r="J556" s="257"/>
      <c r="K556" s="257"/>
      <c r="L556" s="257"/>
      <c r="M556" s="257"/>
      <c r="N556" s="257"/>
      <c r="O556" s="257"/>
      <c r="P556" s="257"/>
      <c r="Q556" s="257"/>
      <c r="R556" s="257"/>
      <c r="S556" s="257"/>
      <c r="T556" s="257"/>
      <c r="U556" s="257"/>
      <c r="V556" s="257"/>
      <c r="W556" s="257"/>
      <c r="X556" s="257"/>
      <c r="Y556" s="257"/>
      <c r="Z556" s="257"/>
    </row>
    <row r="557" ht="14.25" customHeight="1">
      <c r="A557" s="257"/>
      <c r="B557" s="257"/>
      <c r="C557" s="257"/>
      <c r="D557" s="257"/>
      <c r="E557" s="257"/>
      <c r="F557" s="257"/>
      <c r="G557" s="257"/>
      <c r="H557" s="257"/>
      <c r="I557" s="257"/>
      <c r="J557" s="257"/>
      <c r="K557" s="257"/>
      <c r="L557" s="257"/>
      <c r="M557" s="257"/>
      <c r="N557" s="257"/>
      <c r="O557" s="257"/>
      <c r="P557" s="257"/>
      <c r="Q557" s="257"/>
      <c r="R557" s="257"/>
      <c r="S557" s="257"/>
      <c r="T557" s="257"/>
      <c r="U557" s="257"/>
      <c r="V557" s="257"/>
      <c r="W557" s="257"/>
      <c r="X557" s="257"/>
      <c r="Y557" s="257"/>
      <c r="Z557" s="257"/>
    </row>
    <row r="558" ht="14.25" customHeight="1">
      <c r="A558" s="257"/>
      <c r="B558" s="257"/>
      <c r="C558" s="257"/>
      <c r="D558" s="257"/>
      <c r="E558" s="257"/>
      <c r="F558" s="257"/>
      <c r="G558" s="257"/>
      <c r="H558" s="257"/>
      <c r="I558" s="257"/>
      <c r="J558" s="257"/>
      <c r="K558" s="257"/>
      <c r="L558" s="257"/>
      <c r="M558" s="257"/>
      <c r="N558" s="257"/>
      <c r="O558" s="257"/>
      <c r="P558" s="257"/>
      <c r="Q558" s="257"/>
      <c r="R558" s="257"/>
      <c r="S558" s="257"/>
      <c r="T558" s="257"/>
      <c r="U558" s="257"/>
      <c r="V558" s="257"/>
      <c r="W558" s="257"/>
      <c r="X558" s="257"/>
      <c r="Y558" s="257"/>
      <c r="Z558" s="257"/>
    </row>
    <row r="559" ht="14.25" customHeight="1">
      <c r="A559" s="257"/>
      <c r="B559" s="257"/>
      <c r="C559" s="257"/>
      <c r="D559" s="257"/>
      <c r="E559" s="257"/>
      <c r="F559" s="257"/>
      <c r="G559" s="257"/>
      <c r="H559" s="257"/>
      <c r="I559" s="257"/>
      <c r="J559" s="257"/>
      <c r="K559" s="257"/>
      <c r="L559" s="257"/>
      <c r="M559" s="257"/>
      <c r="N559" s="257"/>
      <c r="O559" s="257"/>
      <c r="P559" s="257"/>
      <c r="Q559" s="257"/>
      <c r="R559" s="257"/>
      <c r="S559" s="257"/>
      <c r="T559" s="257"/>
      <c r="U559" s="257"/>
      <c r="V559" s="257"/>
      <c r="W559" s="257"/>
      <c r="X559" s="257"/>
      <c r="Y559" s="257"/>
      <c r="Z559" s="257"/>
    </row>
    <row r="560" ht="14.25" customHeight="1">
      <c r="A560" s="257"/>
      <c r="B560" s="257"/>
      <c r="C560" s="257"/>
      <c r="D560" s="257"/>
      <c r="E560" s="257"/>
      <c r="F560" s="257"/>
      <c r="G560" s="257"/>
      <c r="H560" s="257"/>
      <c r="I560" s="257"/>
      <c r="J560" s="257"/>
      <c r="K560" s="257"/>
      <c r="L560" s="257"/>
      <c r="M560" s="257"/>
      <c r="N560" s="257"/>
      <c r="O560" s="257"/>
      <c r="P560" s="257"/>
      <c r="Q560" s="257"/>
      <c r="R560" s="257"/>
      <c r="S560" s="257"/>
      <c r="T560" s="257"/>
      <c r="U560" s="257"/>
      <c r="V560" s="257"/>
      <c r="W560" s="257"/>
      <c r="X560" s="257"/>
      <c r="Y560" s="257"/>
      <c r="Z560" s="257"/>
    </row>
    <row r="561" ht="14.25" customHeight="1">
      <c r="A561" s="257"/>
      <c r="B561" s="257"/>
      <c r="C561" s="257"/>
      <c r="D561" s="257"/>
      <c r="E561" s="257"/>
      <c r="F561" s="257"/>
      <c r="G561" s="257"/>
      <c r="H561" s="257"/>
      <c r="I561" s="257"/>
      <c r="J561" s="257"/>
      <c r="K561" s="257"/>
      <c r="L561" s="257"/>
      <c r="M561" s="257"/>
      <c r="N561" s="257"/>
      <c r="O561" s="257"/>
      <c r="P561" s="257"/>
      <c r="Q561" s="257"/>
      <c r="R561" s="257"/>
      <c r="S561" s="257"/>
      <c r="T561" s="257"/>
      <c r="U561" s="257"/>
      <c r="V561" s="257"/>
      <c r="W561" s="257"/>
      <c r="X561" s="257"/>
      <c r="Y561" s="257"/>
      <c r="Z561" s="257"/>
    </row>
    <row r="562" ht="14.25" customHeight="1">
      <c r="A562" s="257"/>
      <c r="B562" s="257"/>
      <c r="C562" s="257"/>
      <c r="D562" s="257"/>
      <c r="E562" s="257"/>
      <c r="F562" s="257"/>
      <c r="G562" s="257"/>
      <c r="H562" s="257"/>
      <c r="I562" s="257"/>
      <c r="J562" s="257"/>
      <c r="K562" s="257"/>
      <c r="L562" s="257"/>
      <c r="M562" s="257"/>
      <c r="N562" s="257"/>
      <c r="O562" s="257"/>
      <c r="P562" s="257"/>
      <c r="Q562" s="257"/>
      <c r="R562" s="257"/>
      <c r="S562" s="257"/>
      <c r="T562" s="257"/>
      <c r="U562" s="257"/>
      <c r="V562" s="257"/>
      <c r="W562" s="257"/>
      <c r="X562" s="257"/>
      <c r="Y562" s="257"/>
      <c r="Z562" s="257"/>
    </row>
    <row r="563" ht="14.25" customHeight="1">
      <c r="A563" s="257"/>
      <c r="B563" s="257"/>
      <c r="C563" s="257"/>
      <c r="D563" s="257"/>
      <c r="E563" s="257"/>
      <c r="F563" s="257"/>
      <c r="G563" s="257"/>
      <c r="H563" s="257"/>
      <c r="I563" s="257"/>
      <c r="J563" s="257"/>
      <c r="K563" s="257"/>
      <c r="L563" s="257"/>
      <c r="M563" s="257"/>
      <c r="N563" s="257"/>
      <c r="O563" s="257"/>
      <c r="P563" s="257"/>
      <c r="Q563" s="257"/>
      <c r="R563" s="257"/>
      <c r="S563" s="257"/>
      <c r="T563" s="257"/>
      <c r="U563" s="257"/>
      <c r="V563" s="257"/>
      <c r="W563" s="257"/>
      <c r="X563" s="257"/>
      <c r="Y563" s="257"/>
      <c r="Z563" s="257"/>
    </row>
    <row r="564" ht="14.25" customHeight="1">
      <c r="A564" s="257"/>
      <c r="B564" s="257"/>
      <c r="C564" s="257"/>
      <c r="D564" s="257"/>
      <c r="E564" s="257"/>
      <c r="F564" s="257"/>
      <c r="G564" s="257"/>
      <c r="H564" s="257"/>
      <c r="I564" s="257"/>
      <c r="J564" s="257"/>
      <c r="K564" s="257"/>
      <c r="L564" s="257"/>
      <c r="M564" s="257"/>
      <c r="N564" s="257"/>
      <c r="O564" s="257"/>
      <c r="P564" s="257"/>
      <c r="Q564" s="257"/>
      <c r="R564" s="257"/>
      <c r="S564" s="257"/>
      <c r="T564" s="257"/>
      <c r="U564" s="257"/>
      <c r="V564" s="257"/>
      <c r="W564" s="257"/>
      <c r="X564" s="257"/>
      <c r="Y564" s="257"/>
      <c r="Z564" s="257"/>
    </row>
    <row r="565" ht="14.25" customHeight="1">
      <c r="A565" s="257"/>
      <c r="B565" s="257"/>
      <c r="C565" s="257"/>
      <c r="D565" s="257"/>
      <c r="E565" s="257"/>
      <c r="F565" s="257"/>
      <c r="G565" s="257"/>
      <c r="H565" s="257"/>
      <c r="I565" s="257"/>
      <c r="J565" s="257"/>
      <c r="K565" s="257"/>
      <c r="L565" s="257"/>
      <c r="M565" s="257"/>
      <c r="N565" s="257"/>
      <c r="O565" s="257"/>
      <c r="P565" s="257"/>
      <c r="Q565" s="257"/>
      <c r="R565" s="257"/>
      <c r="S565" s="257"/>
      <c r="T565" s="257"/>
      <c r="U565" s="257"/>
      <c r="V565" s="257"/>
      <c r="W565" s="257"/>
      <c r="X565" s="257"/>
      <c r="Y565" s="257"/>
      <c r="Z565" s="257"/>
    </row>
    <row r="566" ht="14.25" customHeight="1">
      <c r="A566" s="257"/>
      <c r="B566" s="257"/>
      <c r="C566" s="257"/>
      <c r="D566" s="257"/>
      <c r="E566" s="257"/>
      <c r="F566" s="257"/>
      <c r="G566" s="257"/>
      <c r="H566" s="257"/>
      <c r="I566" s="257"/>
      <c r="J566" s="257"/>
      <c r="K566" s="257"/>
      <c r="L566" s="257"/>
      <c r="M566" s="257"/>
      <c r="N566" s="257"/>
      <c r="O566" s="257"/>
      <c r="P566" s="257"/>
      <c r="Q566" s="257"/>
      <c r="R566" s="257"/>
      <c r="S566" s="257"/>
      <c r="T566" s="257"/>
      <c r="U566" s="257"/>
      <c r="V566" s="257"/>
      <c r="W566" s="257"/>
      <c r="X566" s="257"/>
      <c r="Y566" s="257"/>
      <c r="Z566" s="257"/>
    </row>
    <row r="567" ht="14.25" customHeight="1">
      <c r="A567" s="257"/>
      <c r="B567" s="257"/>
      <c r="C567" s="257"/>
      <c r="D567" s="257"/>
      <c r="E567" s="257"/>
      <c r="F567" s="257"/>
      <c r="G567" s="257"/>
      <c r="H567" s="257"/>
      <c r="I567" s="257"/>
      <c r="J567" s="257"/>
      <c r="K567" s="257"/>
      <c r="L567" s="257"/>
      <c r="M567" s="257"/>
      <c r="N567" s="257"/>
      <c r="O567" s="257"/>
      <c r="P567" s="257"/>
      <c r="Q567" s="257"/>
      <c r="R567" s="257"/>
      <c r="S567" s="257"/>
      <c r="T567" s="257"/>
      <c r="U567" s="257"/>
      <c r="V567" s="257"/>
      <c r="W567" s="257"/>
      <c r="X567" s="257"/>
      <c r="Y567" s="257"/>
      <c r="Z567" s="257"/>
    </row>
    <row r="568" ht="14.25" customHeight="1">
      <c r="A568" s="257"/>
      <c r="B568" s="257"/>
      <c r="C568" s="257"/>
      <c r="D568" s="257"/>
      <c r="E568" s="257"/>
      <c r="F568" s="257"/>
      <c r="G568" s="257"/>
      <c r="H568" s="257"/>
      <c r="I568" s="257"/>
      <c r="J568" s="257"/>
      <c r="K568" s="257"/>
      <c r="L568" s="257"/>
      <c r="M568" s="257"/>
      <c r="N568" s="257"/>
      <c r="O568" s="257"/>
      <c r="P568" s="257"/>
      <c r="Q568" s="257"/>
      <c r="R568" s="257"/>
      <c r="S568" s="257"/>
      <c r="T568" s="257"/>
      <c r="U568" s="257"/>
      <c r="V568" s="257"/>
      <c r="W568" s="257"/>
      <c r="X568" s="257"/>
      <c r="Y568" s="257"/>
      <c r="Z568" s="257"/>
    </row>
    <row r="569" ht="14.25" customHeight="1">
      <c r="A569" s="257"/>
      <c r="B569" s="257"/>
      <c r="C569" s="257"/>
      <c r="D569" s="257"/>
      <c r="E569" s="257"/>
      <c r="F569" s="257"/>
      <c r="G569" s="257"/>
      <c r="H569" s="257"/>
      <c r="I569" s="257"/>
      <c r="J569" s="257"/>
      <c r="K569" s="257"/>
      <c r="L569" s="257"/>
      <c r="M569" s="257"/>
      <c r="N569" s="257"/>
      <c r="O569" s="257"/>
      <c r="P569" s="257"/>
      <c r="Q569" s="257"/>
      <c r="R569" s="257"/>
      <c r="S569" s="257"/>
      <c r="T569" s="257"/>
      <c r="U569" s="257"/>
      <c r="V569" s="257"/>
      <c r="W569" s="257"/>
      <c r="X569" s="257"/>
      <c r="Y569" s="257"/>
      <c r="Z569" s="257"/>
    </row>
    <row r="570" ht="14.25" customHeight="1">
      <c r="A570" s="257"/>
      <c r="B570" s="257"/>
      <c r="C570" s="257"/>
      <c r="D570" s="257"/>
      <c r="E570" s="257"/>
      <c r="F570" s="257"/>
      <c r="G570" s="257"/>
      <c r="H570" s="257"/>
      <c r="I570" s="257"/>
      <c r="J570" s="257"/>
      <c r="K570" s="257"/>
      <c r="L570" s="257"/>
      <c r="M570" s="257"/>
      <c r="N570" s="257"/>
      <c r="O570" s="257"/>
      <c r="P570" s="257"/>
      <c r="Q570" s="257"/>
      <c r="R570" s="257"/>
      <c r="S570" s="257"/>
      <c r="T570" s="257"/>
      <c r="U570" s="257"/>
      <c r="V570" s="257"/>
      <c r="W570" s="257"/>
      <c r="X570" s="257"/>
      <c r="Y570" s="257"/>
      <c r="Z570" s="257"/>
    </row>
    <row r="571" ht="14.25" customHeight="1">
      <c r="A571" s="257"/>
      <c r="B571" s="257"/>
      <c r="C571" s="257"/>
      <c r="D571" s="257"/>
      <c r="E571" s="257"/>
      <c r="F571" s="257"/>
      <c r="G571" s="257"/>
      <c r="H571" s="257"/>
      <c r="I571" s="257"/>
      <c r="J571" s="257"/>
      <c r="K571" s="257"/>
      <c r="L571" s="257"/>
      <c r="M571" s="257"/>
      <c r="N571" s="257"/>
      <c r="O571" s="257"/>
      <c r="P571" s="257"/>
      <c r="Q571" s="257"/>
      <c r="R571" s="257"/>
      <c r="S571" s="257"/>
      <c r="T571" s="257"/>
      <c r="U571" s="257"/>
      <c r="V571" s="257"/>
      <c r="W571" s="257"/>
      <c r="X571" s="257"/>
      <c r="Y571" s="257"/>
      <c r="Z571" s="257"/>
    </row>
    <row r="572" ht="14.25" customHeight="1">
      <c r="A572" s="257"/>
      <c r="B572" s="257"/>
      <c r="C572" s="257"/>
      <c r="D572" s="257"/>
      <c r="E572" s="257"/>
      <c r="F572" s="257"/>
      <c r="G572" s="257"/>
      <c r="H572" s="257"/>
      <c r="I572" s="257"/>
      <c r="J572" s="257"/>
      <c r="K572" s="257"/>
      <c r="L572" s="257"/>
      <c r="M572" s="257"/>
      <c r="N572" s="257"/>
      <c r="O572" s="257"/>
      <c r="P572" s="257"/>
      <c r="Q572" s="257"/>
      <c r="R572" s="257"/>
      <c r="S572" s="257"/>
      <c r="T572" s="257"/>
      <c r="U572" s="257"/>
      <c r="V572" s="257"/>
      <c r="W572" s="257"/>
      <c r="X572" s="257"/>
      <c r="Y572" s="257"/>
      <c r="Z572" s="257"/>
    </row>
    <row r="573" ht="14.25" customHeight="1">
      <c r="A573" s="257"/>
      <c r="B573" s="257"/>
      <c r="C573" s="257"/>
      <c r="D573" s="257"/>
      <c r="E573" s="257"/>
      <c r="F573" s="257"/>
      <c r="G573" s="257"/>
      <c r="H573" s="257"/>
      <c r="I573" s="257"/>
      <c r="J573" s="257"/>
      <c r="K573" s="257"/>
      <c r="L573" s="257"/>
      <c r="M573" s="257"/>
      <c r="N573" s="257"/>
      <c r="O573" s="257"/>
      <c r="P573" s="257"/>
      <c r="Q573" s="257"/>
      <c r="R573" s="257"/>
      <c r="S573" s="257"/>
      <c r="T573" s="257"/>
      <c r="U573" s="257"/>
      <c r="V573" s="257"/>
      <c r="W573" s="257"/>
      <c r="X573" s="257"/>
      <c r="Y573" s="257"/>
      <c r="Z573" s="257"/>
    </row>
    <row r="574" ht="14.25" customHeight="1">
      <c r="A574" s="257"/>
      <c r="B574" s="257"/>
      <c r="C574" s="257"/>
      <c r="D574" s="257"/>
      <c r="E574" s="257"/>
      <c r="F574" s="257"/>
      <c r="G574" s="257"/>
      <c r="H574" s="257"/>
      <c r="I574" s="257"/>
      <c r="J574" s="257"/>
      <c r="K574" s="257"/>
      <c r="L574" s="257"/>
      <c r="M574" s="257"/>
      <c r="N574" s="257"/>
      <c r="O574" s="257"/>
      <c r="P574" s="257"/>
      <c r="Q574" s="257"/>
      <c r="R574" s="257"/>
      <c r="S574" s="257"/>
      <c r="T574" s="257"/>
      <c r="U574" s="257"/>
      <c r="V574" s="257"/>
      <c r="W574" s="257"/>
      <c r="X574" s="257"/>
      <c r="Y574" s="257"/>
      <c r="Z574" s="257"/>
    </row>
    <row r="575" ht="14.25" customHeight="1">
      <c r="A575" s="257"/>
      <c r="B575" s="257"/>
      <c r="C575" s="257"/>
      <c r="D575" s="257"/>
      <c r="E575" s="257"/>
      <c r="F575" s="257"/>
      <c r="G575" s="257"/>
      <c r="H575" s="257"/>
      <c r="I575" s="257"/>
      <c r="J575" s="257"/>
      <c r="K575" s="257"/>
      <c r="L575" s="257"/>
      <c r="M575" s="257"/>
      <c r="N575" s="257"/>
      <c r="O575" s="257"/>
      <c r="P575" s="257"/>
      <c r="Q575" s="257"/>
      <c r="R575" s="257"/>
      <c r="S575" s="257"/>
      <c r="T575" s="257"/>
      <c r="U575" s="257"/>
      <c r="V575" s="257"/>
      <c r="W575" s="257"/>
      <c r="X575" s="257"/>
      <c r="Y575" s="257"/>
      <c r="Z575" s="257"/>
    </row>
    <row r="576" ht="14.25" customHeight="1">
      <c r="A576" s="257"/>
      <c r="B576" s="257"/>
      <c r="C576" s="257"/>
      <c r="D576" s="257"/>
      <c r="E576" s="257"/>
      <c r="F576" s="257"/>
      <c r="G576" s="257"/>
      <c r="H576" s="257"/>
      <c r="I576" s="257"/>
      <c r="J576" s="257"/>
      <c r="K576" s="257"/>
      <c r="L576" s="257"/>
      <c r="M576" s="257"/>
      <c r="N576" s="257"/>
      <c r="O576" s="257"/>
      <c r="P576" s="257"/>
      <c r="Q576" s="257"/>
      <c r="R576" s="257"/>
      <c r="S576" s="257"/>
      <c r="T576" s="257"/>
      <c r="U576" s="257"/>
      <c r="V576" s="257"/>
      <c r="W576" s="257"/>
      <c r="X576" s="257"/>
      <c r="Y576" s="257"/>
      <c r="Z576" s="257"/>
    </row>
    <row r="577" ht="14.25" customHeight="1">
      <c r="A577" s="257"/>
      <c r="B577" s="257"/>
      <c r="C577" s="257"/>
      <c r="D577" s="257"/>
      <c r="E577" s="257"/>
      <c r="F577" s="257"/>
      <c r="G577" s="257"/>
      <c r="H577" s="257"/>
      <c r="I577" s="257"/>
      <c r="J577" s="257"/>
      <c r="K577" s="257"/>
      <c r="L577" s="257"/>
      <c r="M577" s="257"/>
      <c r="N577" s="257"/>
      <c r="O577" s="257"/>
      <c r="P577" s="257"/>
      <c r="Q577" s="257"/>
      <c r="R577" s="257"/>
      <c r="S577" s="257"/>
      <c r="T577" s="257"/>
      <c r="U577" s="257"/>
      <c r="V577" s="257"/>
      <c r="W577" s="257"/>
      <c r="X577" s="257"/>
      <c r="Y577" s="257"/>
      <c r="Z577" s="257"/>
    </row>
    <row r="578" ht="14.25" customHeight="1">
      <c r="A578" s="257"/>
      <c r="B578" s="257"/>
      <c r="C578" s="257"/>
      <c r="D578" s="257"/>
      <c r="E578" s="257"/>
      <c r="F578" s="257"/>
      <c r="G578" s="257"/>
      <c r="H578" s="257"/>
      <c r="I578" s="257"/>
      <c r="J578" s="257"/>
      <c r="K578" s="257"/>
      <c r="L578" s="257"/>
      <c r="M578" s="257"/>
      <c r="N578" s="257"/>
      <c r="O578" s="257"/>
      <c r="P578" s="257"/>
      <c r="Q578" s="257"/>
      <c r="R578" s="257"/>
      <c r="S578" s="257"/>
      <c r="T578" s="257"/>
      <c r="U578" s="257"/>
      <c r="V578" s="257"/>
      <c r="W578" s="257"/>
      <c r="X578" s="257"/>
      <c r="Y578" s="257"/>
      <c r="Z578" s="257"/>
    </row>
    <row r="579" ht="14.25" customHeight="1">
      <c r="A579" s="257"/>
      <c r="B579" s="257"/>
      <c r="C579" s="257"/>
      <c r="D579" s="257"/>
      <c r="E579" s="257"/>
      <c r="F579" s="257"/>
      <c r="G579" s="257"/>
      <c r="H579" s="257"/>
      <c r="I579" s="257"/>
      <c r="J579" s="257"/>
      <c r="K579" s="257"/>
      <c r="L579" s="257"/>
      <c r="M579" s="257"/>
      <c r="N579" s="257"/>
      <c r="O579" s="257"/>
      <c r="P579" s="257"/>
      <c r="Q579" s="257"/>
      <c r="R579" s="257"/>
      <c r="S579" s="257"/>
      <c r="T579" s="257"/>
      <c r="U579" s="257"/>
      <c r="V579" s="257"/>
      <c r="W579" s="257"/>
      <c r="X579" s="257"/>
      <c r="Y579" s="257"/>
      <c r="Z579" s="257"/>
    </row>
    <row r="580" ht="14.25" customHeight="1">
      <c r="A580" s="257"/>
      <c r="B580" s="257"/>
      <c r="C580" s="257"/>
      <c r="D580" s="257"/>
      <c r="E580" s="257"/>
      <c r="F580" s="257"/>
      <c r="G580" s="257"/>
      <c r="H580" s="257"/>
      <c r="I580" s="257"/>
      <c r="J580" s="257"/>
      <c r="K580" s="257"/>
      <c r="L580" s="257"/>
      <c r="M580" s="257"/>
      <c r="N580" s="257"/>
      <c r="O580" s="257"/>
      <c r="P580" s="257"/>
      <c r="Q580" s="257"/>
      <c r="R580" s="257"/>
      <c r="S580" s="257"/>
      <c r="T580" s="257"/>
      <c r="U580" s="257"/>
      <c r="V580" s="257"/>
      <c r="W580" s="257"/>
      <c r="X580" s="257"/>
      <c r="Y580" s="257"/>
      <c r="Z580" s="257"/>
    </row>
    <row r="581" ht="14.25" customHeight="1">
      <c r="A581" s="257"/>
      <c r="B581" s="257"/>
      <c r="C581" s="257"/>
      <c r="D581" s="257"/>
      <c r="E581" s="257"/>
      <c r="F581" s="257"/>
      <c r="G581" s="257"/>
      <c r="H581" s="257"/>
      <c r="I581" s="257"/>
      <c r="J581" s="257"/>
      <c r="K581" s="257"/>
      <c r="L581" s="257"/>
      <c r="M581" s="257"/>
      <c r="N581" s="257"/>
      <c r="O581" s="257"/>
      <c r="P581" s="257"/>
      <c r="Q581" s="257"/>
      <c r="R581" s="257"/>
      <c r="S581" s="257"/>
      <c r="T581" s="257"/>
      <c r="U581" s="257"/>
      <c r="V581" s="257"/>
      <c r="W581" s="257"/>
      <c r="X581" s="257"/>
      <c r="Y581" s="257"/>
      <c r="Z581" s="257"/>
    </row>
    <row r="582" ht="14.25" customHeight="1">
      <c r="A582" s="257"/>
      <c r="B582" s="257"/>
      <c r="C582" s="257"/>
      <c r="D582" s="257"/>
      <c r="E582" s="257"/>
      <c r="F582" s="257"/>
      <c r="G582" s="257"/>
      <c r="H582" s="257"/>
      <c r="I582" s="257"/>
      <c r="J582" s="257"/>
      <c r="K582" s="257"/>
      <c r="L582" s="257"/>
      <c r="M582" s="257"/>
      <c r="N582" s="257"/>
      <c r="O582" s="257"/>
      <c r="P582" s="257"/>
      <c r="Q582" s="257"/>
      <c r="R582" s="257"/>
      <c r="S582" s="257"/>
      <c r="T582" s="257"/>
      <c r="U582" s="257"/>
      <c r="V582" s="257"/>
      <c r="W582" s="257"/>
      <c r="X582" s="257"/>
      <c r="Y582" s="257"/>
      <c r="Z582" s="257"/>
    </row>
    <row r="583" ht="14.25" customHeight="1">
      <c r="A583" s="257"/>
      <c r="B583" s="257"/>
      <c r="C583" s="257"/>
      <c r="D583" s="257"/>
      <c r="E583" s="257"/>
      <c r="F583" s="257"/>
      <c r="G583" s="257"/>
      <c r="H583" s="257"/>
      <c r="I583" s="257"/>
      <c r="J583" s="257"/>
      <c r="K583" s="257"/>
      <c r="L583" s="257"/>
      <c r="M583" s="257"/>
      <c r="N583" s="257"/>
      <c r="O583" s="257"/>
      <c r="P583" s="257"/>
      <c r="Q583" s="257"/>
      <c r="R583" s="257"/>
      <c r="S583" s="257"/>
      <c r="T583" s="257"/>
      <c r="U583" s="257"/>
      <c r="V583" s="257"/>
      <c r="W583" s="257"/>
      <c r="X583" s="257"/>
      <c r="Y583" s="257"/>
      <c r="Z583" s="257"/>
    </row>
    <row r="584" ht="14.25" customHeight="1">
      <c r="A584" s="257"/>
      <c r="B584" s="257"/>
      <c r="C584" s="257"/>
      <c r="D584" s="257"/>
      <c r="E584" s="257"/>
      <c r="F584" s="257"/>
      <c r="G584" s="257"/>
      <c r="H584" s="257"/>
      <c r="I584" s="257"/>
      <c r="J584" s="257"/>
      <c r="K584" s="257"/>
      <c r="L584" s="257"/>
      <c r="M584" s="257"/>
      <c r="N584" s="257"/>
      <c r="O584" s="257"/>
      <c r="P584" s="257"/>
      <c r="Q584" s="257"/>
      <c r="R584" s="257"/>
      <c r="S584" s="257"/>
      <c r="T584" s="257"/>
      <c r="U584" s="257"/>
      <c r="V584" s="257"/>
      <c r="W584" s="257"/>
      <c r="X584" s="257"/>
      <c r="Y584" s="257"/>
      <c r="Z584" s="257"/>
    </row>
    <row r="585" ht="14.25" customHeight="1">
      <c r="A585" s="257"/>
      <c r="B585" s="257"/>
      <c r="C585" s="257"/>
      <c r="D585" s="257"/>
      <c r="E585" s="257"/>
      <c r="F585" s="257"/>
      <c r="G585" s="257"/>
      <c r="H585" s="257"/>
      <c r="I585" s="257"/>
      <c r="J585" s="257"/>
      <c r="K585" s="257"/>
      <c r="L585" s="257"/>
      <c r="M585" s="257"/>
      <c r="N585" s="257"/>
      <c r="O585" s="257"/>
      <c r="P585" s="257"/>
      <c r="Q585" s="257"/>
      <c r="R585" s="257"/>
      <c r="S585" s="257"/>
      <c r="T585" s="257"/>
      <c r="U585" s="257"/>
      <c r="V585" s="257"/>
      <c r="W585" s="257"/>
      <c r="X585" s="257"/>
      <c r="Y585" s="257"/>
      <c r="Z585" s="257"/>
    </row>
    <row r="586" ht="14.25" customHeight="1">
      <c r="A586" s="257"/>
      <c r="B586" s="257"/>
      <c r="C586" s="257"/>
      <c r="D586" s="257"/>
      <c r="E586" s="257"/>
      <c r="F586" s="257"/>
      <c r="G586" s="257"/>
      <c r="H586" s="257"/>
      <c r="I586" s="257"/>
      <c r="J586" s="257"/>
      <c r="K586" s="257"/>
      <c r="L586" s="257"/>
      <c r="M586" s="257"/>
      <c r="N586" s="257"/>
      <c r="O586" s="257"/>
      <c r="P586" s="257"/>
      <c r="Q586" s="257"/>
      <c r="R586" s="257"/>
      <c r="S586" s="257"/>
      <c r="T586" s="257"/>
      <c r="U586" s="257"/>
      <c r="V586" s="257"/>
      <c r="W586" s="257"/>
      <c r="X586" s="257"/>
      <c r="Y586" s="257"/>
      <c r="Z586" s="257"/>
    </row>
    <row r="587" ht="14.25" customHeight="1">
      <c r="A587" s="257"/>
      <c r="B587" s="257"/>
      <c r="C587" s="257"/>
      <c r="D587" s="257"/>
      <c r="E587" s="257"/>
      <c r="F587" s="257"/>
      <c r="G587" s="257"/>
      <c r="H587" s="257"/>
      <c r="I587" s="257"/>
      <c r="J587" s="257"/>
      <c r="K587" s="257"/>
      <c r="L587" s="257"/>
      <c r="M587" s="257"/>
      <c r="N587" s="257"/>
      <c r="O587" s="257"/>
      <c r="P587" s="257"/>
      <c r="Q587" s="257"/>
      <c r="R587" s="257"/>
      <c r="S587" s="257"/>
      <c r="T587" s="257"/>
      <c r="U587" s="257"/>
      <c r="V587" s="257"/>
      <c r="W587" s="257"/>
      <c r="X587" s="257"/>
      <c r="Y587" s="257"/>
      <c r="Z587" s="257"/>
    </row>
    <row r="588" ht="14.25" customHeight="1">
      <c r="A588" s="257"/>
      <c r="B588" s="257"/>
      <c r="C588" s="257"/>
      <c r="D588" s="257"/>
      <c r="E588" s="257"/>
      <c r="F588" s="257"/>
      <c r="G588" s="257"/>
      <c r="H588" s="257"/>
      <c r="I588" s="257"/>
      <c r="J588" s="257"/>
      <c r="K588" s="257"/>
      <c r="L588" s="257"/>
      <c r="M588" s="257"/>
      <c r="N588" s="257"/>
      <c r="O588" s="257"/>
      <c r="P588" s="257"/>
      <c r="Q588" s="257"/>
      <c r="R588" s="257"/>
      <c r="S588" s="257"/>
      <c r="T588" s="257"/>
      <c r="U588" s="257"/>
      <c r="V588" s="257"/>
      <c r="W588" s="257"/>
      <c r="X588" s="257"/>
      <c r="Y588" s="257"/>
      <c r="Z588" s="257"/>
    </row>
    <row r="589" ht="14.25" customHeight="1">
      <c r="A589" s="257"/>
      <c r="B589" s="257"/>
      <c r="C589" s="257"/>
      <c r="D589" s="257"/>
      <c r="E589" s="257"/>
      <c r="F589" s="257"/>
      <c r="G589" s="257"/>
      <c r="H589" s="257"/>
      <c r="I589" s="257"/>
      <c r="J589" s="257"/>
      <c r="K589" s="257"/>
      <c r="L589" s="257"/>
      <c r="M589" s="257"/>
      <c r="N589" s="257"/>
      <c r="O589" s="257"/>
      <c r="P589" s="257"/>
      <c r="Q589" s="257"/>
      <c r="R589" s="257"/>
      <c r="S589" s="257"/>
      <c r="T589" s="257"/>
      <c r="U589" s="257"/>
      <c r="V589" s="257"/>
      <c r="W589" s="257"/>
      <c r="X589" s="257"/>
      <c r="Y589" s="257"/>
      <c r="Z589" s="257"/>
    </row>
    <row r="590" ht="14.25" customHeight="1">
      <c r="A590" s="257"/>
      <c r="B590" s="257"/>
      <c r="C590" s="257"/>
      <c r="D590" s="257"/>
      <c r="E590" s="257"/>
      <c r="F590" s="257"/>
      <c r="G590" s="257"/>
      <c r="H590" s="257"/>
      <c r="I590" s="257"/>
      <c r="J590" s="257"/>
      <c r="K590" s="257"/>
      <c r="L590" s="257"/>
      <c r="M590" s="257"/>
      <c r="N590" s="257"/>
      <c r="O590" s="257"/>
      <c r="P590" s="257"/>
      <c r="Q590" s="257"/>
      <c r="R590" s="257"/>
      <c r="S590" s="257"/>
      <c r="T590" s="257"/>
      <c r="U590" s="257"/>
      <c r="V590" s="257"/>
      <c r="W590" s="257"/>
      <c r="X590" s="257"/>
      <c r="Y590" s="257"/>
      <c r="Z590" s="257"/>
    </row>
    <row r="591" ht="14.25" customHeight="1">
      <c r="A591" s="257"/>
      <c r="B591" s="257"/>
      <c r="C591" s="257"/>
      <c r="D591" s="257"/>
      <c r="E591" s="257"/>
      <c r="F591" s="257"/>
      <c r="G591" s="257"/>
      <c r="H591" s="257"/>
      <c r="I591" s="257"/>
      <c r="J591" s="257"/>
      <c r="K591" s="257"/>
      <c r="L591" s="257"/>
      <c r="M591" s="257"/>
      <c r="N591" s="257"/>
      <c r="O591" s="257"/>
      <c r="P591" s="257"/>
      <c r="Q591" s="257"/>
      <c r="R591" s="257"/>
      <c r="S591" s="257"/>
      <c r="T591" s="257"/>
      <c r="U591" s="257"/>
      <c r="V591" s="257"/>
      <c r="W591" s="257"/>
      <c r="X591" s="257"/>
      <c r="Y591" s="257"/>
      <c r="Z591" s="257"/>
    </row>
    <row r="592" ht="14.25" customHeight="1">
      <c r="A592" s="257"/>
      <c r="B592" s="257"/>
      <c r="C592" s="257"/>
      <c r="D592" s="257"/>
      <c r="E592" s="257"/>
      <c r="F592" s="257"/>
      <c r="G592" s="257"/>
      <c r="H592" s="257"/>
      <c r="I592" s="257"/>
      <c r="J592" s="257"/>
      <c r="K592" s="257"/>
      <c r="L592" s="257"/>
      <c r="M592" s="257"/>
      <c r="N592" s="257"/>
      <c r="O592" s="257"/>
      <c r="P592" s="257"/>
      <c r="Q592" s="257"/>
      <c r="R592" s="257"/>
      <c r="S592" s="257"/>
      <c r="T592" s="257"/>
      <c r="U592" s="257"/>
      <c r="V592" s="257"/>
      <c r="W592" s="257"/>
      <c r="X592" s="257"/>
      <c r="Y592" s="257"/>
      <c r="Z592" s="257"/>
    </row>
    <row r="593" ht="14.25" customHeight="1">
      <c r="A593" s="257"/>
      <c r="B593" s="257"/>
      <c r="C593" s="257"/>
      <c r="D593" s="257"/>
      <c r="E593" s="257"/>
      <c r="F593" s="257"/>
      <c r="G593" s="257"/>
      <c r="H593" s="257"/>
      <c r="I593" s="257"/>
      <c r="J593" s="257"/>
      <c r="K593" s="257"/>
      <c r="L593" s="257"/>
      <c r="M593" s="257"/>
      <c r="N593" s="257"/>
      <c r="O593" s="257"/>
      <c r="P593" s="257"/>
      <c r="Q593" s="257"/>
      <c r="R593" s="257"/>
      <c r="S593" s="257"/>
      <c r="T593" s="257"/>
      <c r="U593" s="257"/>
      <c r="V593" s="257"/>
      <c r="W593" s="257"/>
      <c r="X593" s="257"/>
      <c r="Y593" s="257"/>
      <c r="Z593" s="257"/>
    </row>
    <row r="594" ht="14.25" customHeight="1">
      <c r="A594" s="257"/>
      <c r="B594" s="257"/>
      <c r="C594" s="257"/>
      <c r="D594" s="257"/>
      <c r="E594" s="257"/>
      <c r="F594" s="257"/>
      <c r="G594" s="257"/>
      <c r="H594" s="257"/>
      <c r="I594" s="257"/>
      <c r="J594" s="257"/>
      <c r="K594" s="257"/>
      <c r="L594" s="257"/>
      <c r="M594" s="257"/>
      <c r="N594" s="257"/>
      <c r="O594" s="257"/>
      <c r="P594" s="257"/>
      <c r="Q594" s="257"/>
      <c r="R594" s="257"/>
      <c r="S594" s="257"/>
      <c r="T594" s="257"/>
      <c r="U594" s="257"/>
      <c r="V594" s="257"/>
      <c r="W594" s="257"/>
      <c r="X594" s="257"/>
      <c r="Y594" s="257"/>
      <c r="Z594" s="257"/>
    </row>
    <row r="595" ht="14.25" customHeight="1">
      <c r="A595" s="257"/>
      <c r="B595" s="257"/>
      <c r="C595" s="257"/>
      <c r="D595" s="257"/>
      <c r="E595" s="257"/>
      <c r="F595" s="257"/>
      <c r="G595" s="257"/>
      <c r="H595" s="257"/>
      <c r="I595" s="257"/>
      <c r="J595" s="257"/>
      <c r="K595" s="257"/>
      <c r="L595" s="257"/>
      <c r="M595" s="257"/>
      <c r="N595" s="257"/>
      <c r="O595" s="257"/>
      <c r="P595" s="257"/>
      <c r="Q595" s="257"/>
      <c r="R595" s="257"/>
      <c r="S595" s="257"/>
      <c r="T595" s="257"/>
      <c r="U595" s="257"/>
      <c r="V595" s="257"/>
      <c r="W595" s="257"/>
      <c r="X595" s="257"/>
      <c r="Y595" s="257"/>
      <c r="Z595" s="257"/>
    </row>
    <row r="596" ht="14.25" customHeight="1">
      <c r="A596" s="257"/>
      <c r="B596" s="257"/>
      <c r="C596" s="257"/>
      <c r="D596" s="257"/>
      <c r="E596" s="257"/>
      <c r="F596" s="257"/>
      <c r="G596" s="257"/>
      <c r="H596" s="257"/>
      <c r="I596" s="257"/>
      <c r="J596" s="257"/>
      <c r="K596" s="257"/>
      <c r="L596" s="257"/>
      <c r="M596" s="257"/>
      <c r="N596" s="257"/>
      <c r="O596" s="257"/>
      <c r="P596" s="257"/>
      <c r="Q596" s="257"/>
      <c r="R596" s="257"/>
      <c r="S596" s="257"/>
      <c r="T596" s="257"/>
      <c r="U596" s="257"/>
      <c r="V596" s="257"/>
      <c r="W596" s="257"/>
      <c r="X596" s="257"/>
      <c r="Y596" s="257"/>
      <c r="Z596" s="257"/>
    </row>
    <row r="597" ht="14.25" customHeight="1">
      <c r="A597" s="257"/>
      <c r="B597" s="257"/>
      <c r="C597" s="257"/>
      <c r="D597" s="257"/>
      <c r="E597" s="257"/>
      <c r="F597" s="257"/>
      <c r="G597" s="257"/>
      <c r="H597" s="257"/>
      <c r="I597" s="257"/>
      <c r="J597" s="257"/>
      <c r="K597" s="257"/>
      <c r="L597" s="257"/>
      <c r="M597" s="257"/>
      <c r="N597" s="257"/>
      <c r="O597" s="257"/>
      <c r="P597" s="257"/>
      <c r="Q597" s="257"/>
      <c r="R597" s="257"/>
      <c r="S597" s="257"/>
      <c r="T597" s="257"/>
      <c r="U597" s="257"/>
      <c r="V597" s="257"/>
      <c r="W597" s="257"/>
      <c r="X597" s="257"/>
      <c r="Y597" s="257"/>
      <c r="Z597" s="257"/>
    </row>
    <row r="598" ht="14.25" customHeight="1">
      <c r="A598" s="257"/>
      <c r="B598" s="257"/>
      <c r="C598" s="257"/>
      <c r="D598" s="257"/>
      <c r="E598" s="257"/>
      <c r="F598" s="257"/>
      <c r="G598" s="257"/>
      <c r="H598" s="257"/>
      <c r="I598" s="257"/>
      <c r="J598" s="257"/>
      <c r="K598" s="257"/>
      <c r="L598" s="257"/>
      <c r="M598" s="257"/>
      <c r="N598" s="257"/>
      <c r="O598" s="257"/>
      <c r="P598" s="257"/>
      <c r="Q598" s="257"/>
      <c r="R598" s="257"/>
      <c r="S598" s="257"/>
      <c r="T598" s="257"/>
      <c r="U598" s="257"/>
      <c r="V598" s="257"/>
      <c r="W598" s="257"/>
      <c r="X598" s="257"/>
      <c r="Y598" s="257"/>
      <c r="Z598" s="257"/>
    </row>
    <row r="599" ht="14.25" customHeight="1">
      <c r="A599" s="257"/>
      <c r="B599" s="257"/>
      <c r="C599" s="257"/>
      <c r="D599" s="257"/>
      <c r="E599" s="257"/>
      <c r="F599" s="257"/>
      <c r="G599" s="257"/>
      <c r="H599" s="257"/>
      <c r="I599" s="257"/>
      <c r="J599" s="257"/>
      <c r="K599" s="257"/>
      <c r="L599" s="257"/>
      <c r="M599" s="257"/>
      <c r="N599" s="257"/>
      <c r="O599" s="257"/>
      <c r="P599" s="257"/>
      <c r="Q599" s="257"/>
      <c r="R599" s="257"/>
      <c r="S599" s="257"/>
      <c r="T599" s="257"/>
      <c r="U599" s="257"/>
      <c r="V599" s="257"/>
      <c r="W599" s="257"/>
      <c r="X599" s="257"/>
      <c r="Y599" s="257"/>
      <c r="Z599" s="257"/>
    </row>
    <row r="600" ht="14.25" customHeight="1">
      <c r="A600" s="257"/>
      <c r="B600" s="257"/>
      <c r="C600" s="257"/>
      <c r="D600" s="257"/>
      <c r="E600" s="257"/>
      <c r="F600" s="257"/>
      <c r="G600" s="257"/>
      <c r="H600" s="257"/>
      <c r="I600" s="257"/>
      <c r="J600" s="257"/>
      <c r="K600" s="257"/>
      <c r="L600" s="257"/>
      <c r="M600" s="257"/>
      <c r="N600" s="257"/>
      <c r="O600" s="257"/>
      <c r="P600" s="257"/>
      <c r="Q600" s="257"/>
      <c r="R600" s="257"/>
      <c r="S600" s="257"/>
      <c r="T600" s="257"/>
      <c r="U600" s="257"/>
      <c r="V600" s="257"/>
      <c r="W600" s="257"/>
      <c r="X600" s="257"/>
      <c r="Y600" s="257"/>
      <c r="Z600" s="257"/>
    </row>
    <row r="601" ht="14.25" customHeight="1">
      <c r="A601" s="257"/>
      <c r="B601" s="257"/>
      <c r="C601" s="257"/>
      <c r="D601" s="257"/>
      <c r="E601" s="257"/>
      <c r="F601" s="257"/>
      <c r="G601" s="257"/>
      <c r="H601" s="257"/>
      <c r="I601" s="257"/>
      <c r="J601" s="257"/>
      <c r="K601" s="257"/>
      <c r="L601" s="257"/>
      <c r="M601" s="257"/>
      <c r="N601" s="257"/>
      <c r="O601" s="257"/>
      <c r="P601" s="257"/>
      <c r="Q601" s="257"/>
      <c r="R601" s="257"/>
      <c r="S601" s="257"/>
      <c r="T601" s="257"/>
      <c r="U601" s="257"/>
      <c r="V601" s="257"/>
      <c r="W601" s="257"/>
      <c r="X601" s="257"/>
      <c r="Y601" s="257"/>
      <c r="Z601" s="257"/>
    </row>
    <row r="602" ht="14.25" customHeight="1">
      <c r="A602" s="257"/>
      <c r="B602" s="257"/>
      <c r="C602" s="257"/>
      <c r="D602" s="257"/>
      <c r="E602" s="257"/>
      <c r="F602" s="257"/>
      <c r="G602" s="257"/>
      <c r="H602" s="257"/>
      <c r="I602" s="257"/>
      <c r="J602" s="257"/>
      <c r="K602" s="257"/>
      <c r="L602" s="257"/>
      <c r="M602" s="257"/>
      <c r="N602" s="257"/>
      <c r="O602" s="257"/>
      <c r="P602" s="257"/>
      <c r="Q602" s="257"/>
      <c r="R602" s="257"/>
      <c r="S602" s="257"/>
      <c r="T602" s="257"/>
      <c r="U602" s="257"/>
      <c r="V602" s="257"/>
      <c r="W602" s="257"/>
      <c r="X602" s="257"/>
      <c r="Y602" s="257"/>
      <c r="Z602" s="257"/>
    </row>
    <row r="603" ht="14.25" customHeight="1">
      <c r="A603" s="257"/>
      <c r="B603" s="257"/>
      <c r="C603" s="257"/>
      <c r="D603" s="257"/>
      <c r="E603" s="257"/>
      <c r="F603" s="257"/>
      <c r="G603" s="257"/>
      <c r="H603" s="257"/>
      <c r="I603" s="257"/>
      <c r="J603" s="257"/>
      <c r="K603" s="257"/>
      <c r="L603" s="257"/>
      <c r="M603" s="257"/>
      <c r="N603" s="257"/>
      <c r="O603" s="257"/>
      <c r="P603" s="257"/>
      <c r="Q603" s="257"/>
      <c r="R603" s="257"/>
      <c r="S603" s="257"/>
      <c r="T603" s="257"/>
      <c r="U603" s="257"/>
      <c r="V603" s="257"/>
      <c r="W603" s="257"/>
      <c r="X603" s="257"/>
      <c r="Y603" s="257"/>
      <c r="Z603" s="257"/>
    </row>
    <row r="604" ht="14.25" customHeight="1">
      <c r="A604" s="257"/>
      <c r="B604" s="257"/>
      <c r="C604" s="257"/>
      <c r="D604" s="257"/>
      <c r="E604" s="257"/>
      <c r="F604" s="257"/>
      <c r="G604" s="257"/>
      <c r="H604" s="257"/>
      <c r="I604" s="257"/>
      <c r="J604" s="257"/>
      <c r="K604" s="257"/>
      <c r="L604" s="257"/>
      <c r="M604" s="257"/>
      <c r="N604" s="257"/>
      <c r="O604" s="257"/>
      <c r="P604" s="257"/>
      <c r="Q604" s="257"/>
      <c r="R604" s="257"/>
      <c r="S604" s="257"/>
      <c r="T604" s="257"/>
      <c r="U604" s="257"/>
      <c r="V604" s="257"/>
      <c r="W604" s="257"/>
      <c r="X604" s="257"/>
      <c r="Y604" s="257"/>
      <c r="Z604" s="257"/>
    </row>
    <row r="605" ht="14.25" customHeight="1">
      <c r="A605" s="257"/>
      <c r="B605" s="257"/>
      <c r="C605" s="257"/>
      <c r="D605" s="257"/>
      <c r="E605" s="257"/>
      <c r="F605" s="257"/>
      <c r="G605" s="257"/>
      <c r="H605" s="257"/>
      <c r="I605" s="257"/>
      <c r="J605" s="257"/>
      <c r="K605" s="257"/>
      <c r="L605" s="257"/>
      <c r="M605" s="257"/>
      <c r="N605" s="257"/>
      <c r="O605" s="257"/>
      <c r="P605" s="257"/>
      <c r="Q605" s="257"/>
      <c r="R605" s="257"/>
      <c r="S605" s="257"/>
      <c r="T605" s="257"/>
      <c r="U605" s="257"/>
      <c r="V605" s="257"/>
      <c r="W605" s="257"/>
      <c r="X605" s="257"/>
      <c r="Y605" s="257"/>
      <c r="Z605" s="257"/>
    </row>
    <row r="606" ht="14.25" customHeight="1">
      <c r="A606" s="257"/>
      <c r="B606" s="257"/>
      <c r="C606" s="257"/>
      <c r="D606" s="257"/>
      <c r="E606" s="257"/>
      <c r="F606" s="257"/>
      <c r="G606" s="257"/>
      <c r="H606" s="257"/>
      <c r="I606" s="257"/>
      <c r="J606" s="257"/>
      <c r="K606" s="257"/>
      <c r="L606" s="257"/>
      <c r="M606" s="257"/>
      <c r="N606" s="257"/>
      <c r="O606" s="257"/>
      <c r="P606" s="257"/>
      <c r="Q606" s="257"/>
      <c r="R606" s="257"/>
      <c r="S606" s="257"/>
      <c r="T606" s="257"/>
      <c r="U606" s="257"/>
      <c r="V606" s="257"/>
      <c r="W606" s="257"/>
      <c r="X606" s="257"/>
      <c r="Y606" s="257"/>
      <c r="Z606" s="257"/>
    </row>
    <row r="607" ht="14.25" customHeight="1">
      <c r="A607" s="257"/>
      <c r="B607" s="257"/>
      <c r="C607" s="257"/>
      <c r="D607" s="257"/>
      <c r="E607" s="257"/>
      <c r="F607" s="257"/>
      <c r="G607" s="257"/>
      <c r="H607" s="257"/>
      <c r="I607" s="257"/>
      <c r="J607" s="257"/>
      <c r="K607" s="257"/>
      <c r="L607" s="257"/>
      <c r="M607" s="257"/>
      <c r="N607" s="257"/>
      <c r="O607" s="257"/>
      <c r="P607" s="257"/>
      <c r="Q607" s="257"/>
      <c r="R607" s="257"/>
      <c r="S607" s="257"/>
      <c r="T607" s="257"/>
      <c r="U607" s="257"/>
      <c r="V607" s="257"/>
      <c r="W607" s="257"/>
      <c r="X607" s="257"/>
      <c r="Y607" s="257"/>
      <c r="Z607" s="257"/>
    </row>
    <row r="608" ht="14.25" customHeight="1">
      <c r="A608" s="257"/>
      <c r="B608" s="257"/>
      <c r="C608" s="257"/>
      <c r="D608" s="257"/>
      <c r="E608" s="257"/>
      <c r="F608" s="257"/>
      <c r="G608" s="257"/>
      <c r="H608" s="257"/>
      <c r="I608" s="257"/>
      <c r="J608" s="257"/>
      <c r="K608" s="257"/>
      <c r="L608" s="257"/>
      <c r="M608" s="257"/>
      <c r="N608" s="257"/>
      <c r="O608" s="257"/>
      <c r="P608" s="257"/>
      <c r="Q608" s="257"/>
      <c r="R608" s="257"/>
      <c r="S608" s="257"/>
      <c r="T608" s="257"/>
      <c r="U608" s="257"/>
      <c r="V608" s="257"/>
      <c r="W608" s="257"/>
      <c r="X608" s="257"/>
      <c r="Y608" s="257"/>
      <c r="Z608" s="257"/>
    </row>
    <row r="609" ht="14.25" customHeight="1">
      <c r="A609" s="257"/>
      <c r="B609" s="257"/>
      <c r="C609" s="257"/>
      <c r="D609" s="257"/>
      <c r="E609" s="257"/>
      <c r="F609" s="257"/>
      <c r="G609" s="257"/>
      <c r="H609" s="257"/>
      <c r="I609" s="257"/>
      <c r="J609" s="257"/>
      <c r="K609" s="257"/>
      <c r="L609" s="257"/>
      <c r="M609" s="257"/>
      <c r="N609" s="257"/>
      <c r="O609" s="257"/>
      <c r="P609" s="257"/>
      <c r="Q609" s="257"/>
      <c r="R609" s="257"/>
      <c r="S609" s="257"/>
      <c r="T609" s="257"/>
      <c r="U609" s="257"/>
      <c r="V609" s="257"/>
      <c r="W609" s="257"/>
      <c r="X609" s="257"/>
      <c r="Y609" s="257"/>
      <c r="Z609" s="257"/>
    </row>
    <row r="610" ht="14.25" customHeight="1">
      <c r="A610" s="257"/>
      <c r="B610" s="257"/>
      <c r="C610" s="257"/>
      <c r="D610" s="257"/>
      <c r="E610" s="257"/>
      <c r="F610" s="257"/>
      <c r="G610" s="257"/>
      <c r="H610" s="257"/>
      <c r="I610" s="257"/>
      <c r="J610" s="257"/>
      <c r="K610" s="257"/>
      <c r="L610" s="257"/>
      <c r="M610" s="257"/>
      <c r="N610" s="257"/>
      <c r="O610" s="257"/>
      <c r="P610" s="257"/>
      <c r="Q610" s="257"/>
      <c r="R610" s="257"/>
      <c r="S610" s="257"/>
      <c r="T610" s="257"/>
      <c r="U610" s="257"/>
      <c r="V610" s="257"/>
      <c r="W610" s="257"/>
      <c r="X610" s="257"/>
      <c r="Y610" s="257"/>
      <c r="Z610" s="257"/>
    </row>
    <row r="611" ht="14.25" customHeight="1">
      <c r="A611" s="257"/>
      <c r="B611" s="257"/>
      <c r="C611" s="257"/>
      <c r="D611" s="257"/>
      <c r="E611" s="257"/>
      <c r="F611" s="257"/>
      <c r="G611" s="257"/>
      <c r="H611" s="257"/>
      <c r="I611" s="257"/>
      <c r="J611" s="257"/>
      <c r="K611" s="257"/>
      <c r="L611" s="257"/>
      <c r="M611" s="257"/>
      <c r="N611" s="257"/>
      <c r="O611" s="257"/>
      <c r="P611" s="257"/>
      <c r="Q611" s="257"/>
      <c r="R611" s="257"/>
      <c r="S611" s="257"/>
      <c r="T611" s="257"/>
      <c r="U611" s="257"/>
      <c r="V611" s="257"/>
      <c r="W611" s="257"/>
      <c r="X611" s="257"/>
      <c r="Y611" s="257"/>
      <c r="Z611" s="257"/>
    </row>
    <row r="612" ht="14.25" customHeight="1">
      <c r="A612" s="257"/>
      <c r="B612" s="257"/>
      <c r="C612" s="257"/>
      <c r="D612" s="257"/>
      <c r="E612" s="257"/>
      <c r="F612" s="257"/>
      <c r="G612" s="257"/>
      <c r="H612" s="257"/>
      <c r="I612" s="257"/>
      <c r="J612" s="257"/>
      <c r="K612" s="257"/>
      <c r="L612" s="257"/>
      <c r="M612" s="257"/>
      <c r="N612" s="257"/>
      <c r="O612" s="257"/>
      <c r="P612" s="257"/>
      <c r="Q612" s="257"/>
      <c r="R612" s="257"/>
      <c r="S612" s="257"/>
      <c r="T612" s="257"/>
      <c r="U612" s="257"/>
      <c r="V612" s="257"/>
      <c r="W612" s="257"/>
      <c r="X612" s="257"/>
      <c r="Y612" s="257"/>
      <c r="Z612" s="257"/>
    </row>
    <row r="613" ht="14.25" customHeight="1">
      <c r="A613" s="257"/>
      <c r="B613" s="257"/>
      <c r="C613" s="257"/>
      <c r="D613" s="257"/>
      <c r="E613" s="257"/>
      <c r="F613" s="257"/>
      <c r="G613" s="257"/>
      <c r="H613" s="257"/>
      <c r="I613" s="257"/>
      <c r="J613" s="257"/>
      <c r="K613" s="257"/>
      <c r="L613" s="257"/>
      <c r="M613" s="257"/>
      <c r="N613" s="257"/>
      <c r="O613" s="257"/>
      <c r="P613" s="257"/>
      <c r="Q613" s="257"/>
      <c r="R613" s="257"/>
      <c r="S613" s="257"/>
      <c r="T613" s="257"/>
      <c r="U613" s="257"/>
      <c r="V613" s="257"/>
      <c r="W613" s="257"/>
      <c r="X613" s="257"/>
      <c r="Y613" s="257"/>
      <c r="Z613" s="257"/>
    </row>
    <row r="614" ht="14.25" customHeight="1">
      <c r="A614" s="257"/>
      <c r="B614" s="257"/>
      <c r="C614" s="257"/>
      <c r="D614" s="257"/>
      <c r="E614" s="257"/>
      <c r="F614" s="257"/>
      <c r="G614" s="257"/>
      <c r="H614" s="257"/>
      <c r="I614" s="257"/>
      <c r="J614" s="257"/>
      <c r="K614" s="257"/>
      <c r="L614" s="257"/>
      <c r="M614" s="257"/>
      <c r="N614" s="257"/>
      <c r="O614" s="257"/>
      <c r="P614" s="257"/>
      <c r="Q614" s="257"/>
      <c r="R614" s="257"/>
      <c r="S614" s="257"/>
      <c r="T614" s="257"/>
      <c r="U614" s="257"/>
      <c r="V614" s="257"/>
      <c r="W614" s="257"/>
      <c r="X614" s="257"/>
      <c r="Y614" s="257"/>
      <c r="Z614" s="257"/>
    </row>
    <row r="615" ht="14.25" customHeight="1">
      <c r="A615" s="257"/>
      <c r="B615" s="257"/>
      <c r="C615" s="257"/>
      <c r="D615" s="257"/>
      <c r="E615" s="257"/>
      <c r="F615" s="257"/>
      <c r="G615" s="257"/>
      <c r="H615" s="257"/>
      <c r="I615" s="257"/>
      <c r="J615" s="257"/>
      <c r="K615" s="257"/>
      <c r="L615" s="257"/>
      <c r="M615" s="257"/>
      <c r="N615" s="257"/>
      <c r="O615" s="257"/>
      <c r="P615" s="257"/>
      <c r="Q615" s="257"/>
      <c r="R615" s="257"/>
      <c r="S615" s="257"/>
      <c r="T615" s="257"/>
      <c r="U615" s="257"/>
      <c r="V615" s="257"/>
      <c r="W615" s="257"/>
      <c r="X615" s="257"/>
      <c r="Y615" s="257"/>
      <c r="Z615" s="257"/>
    </row>
    <row r="616" ht="14.25" customHeight="1">
      <c r="A616" s="257"/>
      <c r="B616" s="257"/>
      <c r="C616" s="257"/>
      <c r="D616" s="257"/>
      <c r="E616" s="257"/>
      <c r="F616" s="257"/>
      <c r="G616" s="257"/>
      <c r="H616" s="257"/>
      <c r="I616" s="257"/>
      <c r="J616" s="257"/>
      <c r="K616" s="257"/>
      <c r="L616" s="257"/>
      <c r="M616" s="257"/>
      <c r="N616" s="257"/>
      <c r="O616" s="257"/>
      <c r="P616" s="257"/>
      <c r="Q616" s="257"/>
      <c r="R616" s="257"/>
      <c r="S616" s="257"/>
      <c r="T616" s="257"/>
      <c r="U616" s="257"/>
      <c r="V616" s="257"/>
      <c r="W616" s="257"/>
      <c r="X616" s="257"/>
      <c r="Y616" s="257"/>
      <c r="Z616" s="257"/>
    </row>
    <row r="617" ht="14.25" customHeight="1">
      <c r="A617" s="257"/>
      <c r="B617" s="257"/>
      <c r="C617" s="257"/>
      <c r="D617" s="257"/>
      <c r="E617" s="257"/>
      <c r="F617" s="257"/>
      <c r="G617" s="257"/>
      <c r="H617" s="257"/>
      <c r="I617" s="257"/>
      <c r="J617" s="257"/>
      <c r="K617" s="257"/>
      <c r="L617" s="257"/>
      <c r="M617" s="257"/>
      <c r="N617" s="257"/>
      <c r="O617" s="257"/>
      <c r="P617" s="257"/>
      <c r="Q617" s="257"/>
      <c r="R617" s="257"/>
      <c r="S617" s="257"/>
      <c r="T617" s="257"/>
      <c r="U617" s="257"/>
      <c r="V617" s="257"/>
      <c r="W617" s="257"/>
      <c r="X617" s="257"/>
      <c r="Y617" s="257"/>
      <c r="Z617" s="257"/>
    </row>
    <row r="618" ht="14.25" customHeight="1">
      <c r="A618" s="257"/>
      <c r="B618" s="257"/>
      <c r="C618" s="257"/>
      <c r="D618" s="257"/>
      <c r="E618" s="257"/>
      <c r="F618" s="257"/>
      <c r="G618" s="257"/>
      <c r="H618" s="257"/>
      <c r="I618" s="257"/>
      <c r="J618" s="257"/>
      <c r="K618" s="257"/>
      <c r="L618" s="257"/>
      <c r="M618" s="257"/>
      <c r="N618" s="257"/>
      <c r="O618" s="257"/>
      <c r="P618" s="257"/>
      <c r="Q618" s="257"/>
      <c r="R618" s="257"/>
      <c r="S618" s="257"/>
      <c r="T618" s="257"/>
      <c r="U618" s="257"/>
      <c r="V618" s="257"/>
      <c r="W618" s="257"/>
      <c r="X618" s="257"/>
      <c r="Y618" s="257"/>
      <c r="Z618" s="257"/>
    </row>
    <row r="619" ht="14.25" customHeight="1">
      <c r="A619" s="257"/>
      <c r="B619" s="257"/>
      <c r="C619" s="257"/>
      <c r="D619" s="257"/>
      <c r="E619" s="257"/>
      <c r="F619" s="257"/>
      <c r="G619" s="257"/>
      <c r="H619" s="257"/>
      <c r="I619" s="257"/>
      <c r="J619" s="257"/>
      <c r="K619" s="257"/>
      <c r="L619" s="257"/>
      <c r="M619" s="257"/>
      <c r="N619" s="257"/>
      <c r="O619" s="257"/>
      <c r="P619" s="257"/>
      <c r="Q619" s="257"/>
      <c r="R619" s="257"/>
      <c r="S619" s="257"/>
      <c r="T619" s="257"/>
      <c r="U619" s="257"/>
      <c r="V619" s="257"/>
      <c r="W619" s="257"/>
      <c r="X619" s="257"/>
      <c r="Y619" s="257"/>
      <c r="Z619" s="257"/>
    </row>
    <row r="620" ht="14.25" customHeight="1">
      <c r="A620" s="257"/>
      <c r="B620" s="257"/>
      <c r="C620" s="257"/>
      <c r="D620" s="257"/>
      <c r="E620" s="257"/>
      <c r="F620" s="257"/>
      <c r="G620" s="257"/>
      <c r="H620" s="257"/>
      <c r="I620" s="257"/>
      <c r="J620" s="257"/>
      <c r="K620" s="257"/>
      <c r="L620" s="257"/>
      <c r="M620" s="257"/>
      <c r="N620" s="257"/>
      <c r="O620" s="257"/>
      <c r="P620" s="257"/>
      <c r="Q620" s="257"/>
      <c r="R620" s="257"/>
      <c r="S620" s="257"/>
      <c r="T620" s="257"/>
      <c r="U620" s="257"/>
      <c r="V620" s="257"/>
      <c r="W620" s="257"/>
      <c r="X620" s="257"/>
      <c r="Y620" s="257"/>
      <c r="Z620" s="257"/>
    </row>
    <row r="621" ht="14.25" customHeight="1">
      <c r="A621" s="257"/>
      <c r="B621" s="257"/>
      <c r="C621" s="257"/>
      <c r="D621" s="257"/>
      <c r="E621" s="257"/>
      <c r="F621" s="257"/>
      <c r="G621" s="257"/>
      <c r="H621" s="257"/>
      <c r="I621" s="257"/>
      <c r="J621" s="257"/>
      <c r="K621" s="257"/>
      <c r="L621" s="257"/>
      <c r="M621" s="257"/>
      <c r="N621" s="257"/>
      <c r="O621" s="257"/>
      <c r="P621" s="257"/>
      <c r="Q621" s="257"/>
      <c r="R621" s="257"/>
      <c r="S621" s="257"/>
      <c r="T621" s="257"/>
      <c r="U621" s="257"/>
      <c r="V621" s="257"/>
      <c r="W621" s="257"/>
      <c r="X621" s="257"/>
      <c r="Y621" s="257"/>
      <c r="Z621" s="257"/>
    </row>
    <row r="622" ht="14.25" customHeight="1">
      <c r="A622" s="257"/>
      <c r="B622" s="257"/>
      <c r="C622" s="257"/>
      <c r="D622" s="257"/>
      <c r="E622" s="257"/>
      <c r="F622" s="257"/>
      <c r="G622" s="257"/>
      <c r="H622" s="257"/>
      <c r="I622" s="257"/>
      <c r="J622" s="257"/>
      <c r="K622" s="257"/>
      <c r="L622" s="257"/>
      <c r="M622" s="257"/>
      <c r="N622" s="257"/>
      <c r="O622" s="257"/>
      <c r="P622" s="257"/>
      <c r="Q622" s="257"/>
      <c r="R622" s="257"/>
      <c r="S622" s="257"/>
      <c r="T622" s="257"/>
      <c r="U622" s="257"/>
      <c r="V622" s="257"/>
      <c r="W622" s="257"/>
      <c r="X622" s="257"/>
      <c r="Y622" s="257"/>
      <c r="Z622" s="257"/>
    </row>
    <row r="623" ht="14.25" customHeight="1">
      <c r="A623" s="257"/>
      <c r="B623" s="257"/>
      <c r="C623" s="257"/>
      <c r="D623" s="257"/>
      <c r="E623" s="257"/>
      <c r="F623" s="257"/>
      <c r="G623" s="257"/>
      <c r="H623" s="257"/>
      <c r="I623" s="257"/>
      <c r="J623" s="257"/>
      <c r="K623" s="257"/>
      <c r="L623" s="257"/>
      <c r="M623" s="257"/>
      <c r="N623" s="257"/>
      <c r="O623" s="257"/>
      <c r="P623" s="257"/>
      <c r="Q623" s="257"/>
      <c r="R623" s="257"/>
      <c r="S623" s="257"/>
      <c r="T623" s="257"/>
      <c r="U623" s="257"/>
      <c r="V623" s="257"/>
      <c r="W623" s="257"/>
      <c r="X623" s="257"/>
      <c r="Y623" s="257"/>
      <c r="Z623" s="257"/>
    </row>
    <row r="624" ht="14.25" customHeight="1">
      <c r="A624" s="257"/>
      <c r="B624" s="257"/>
      <c r="C624" s="257"/>
      <c r="D624" s="257"/>
      <c r="E624" s="257"/>
      <c r="F624" s="257"/>
      <c r="G624" s="257"/>
      <c r="H624" s="257"/>
      <c r="I624" s="257"/>
      <c r="J624" s="257"/>
      <c r="K624" s="257"/>
      <c r="L624" s="257"/>
      <c r="M624" s="257"/>
      <c r="N624" s="257"/>
      <c r="O624" s="257"/>
      <c r="P624" s="257"/>
      <c r="Q624" s="257"/>
      <c r="R624" s="257"/>
      <c r="S624" s="257"/>
      <c r="T624" s="257"/>
      <c r="U624" s="257"/>
      <c r="V624" s="257"/>
      <c r="W624" s="257"/>
      <c r="X624" s="257"/>
      <c r="Y624" s="257"/>
      <c r="Z624" s="257"/>
    </row>
    <row r="625" ht="14.25" customHeight="1">
      <c r="A625" s="257"/>
      <c r="B625" s="257"/>
      <c r="C625" s="257"/>
      <c r="D625" s="257"/>
      <c r="E625" s="257"/>
      <c r="F625" s="257"/>
      <c r="G625" s="257"/>
      <c r="H625" s="257"/>
      <c r="I625" s="257"/>
      <c r="J625" s="257"/>
      <c r="K625" s="257"/>
      <c r="L625" s="257"/>
      <c r="M625" s="257"/>
      <c r="N625" s="257"/>
      <c r="O625" s="257"/>
      <c r="P625" s="257"/>
      <c r="Q625" s="257"/>
      <c r="R625" s="257"/>
      <c r="S625" s="257"/>
      <c r="T625" s="257"/>
      <c r="U625" s="257"/>
      <c r="V625" s="257"/>
      <c r="W625" s="257"/>
      <c r="X625" s="257"/>
      <c r="Y625" s="257"/>
      <c r="Z625" s="257"/>
    </row>
    <row r="626" ht="14.25" customHeight="1">
      <c r="A626" s="257"/>
      <c r="B626" s="257"/>
      <c r="C626" s="257"/>
      <c r="D626" s="257"/>
      <c r="E626" s="257"/>
      <c r="F626" s="257"/>
      <c r="G626" s="257"/>
      <c r="H626" s="257"/>
      <c r="I626" s="257"/>
      <c r="J626" s="257"/>
      <c r="K626" s="257"/>
      <c r="L626" s="257"/>
      <c r="M626" s="257"/>
      <c r="N626" s="257"/>
      <c r="O626" s="257"/>
      <c r="P626" s="257"/>
      <c r="Q626" s="257"/>
      <c r="R626" s="257"/>
      <c r="S626" s="257"/>
      <c r="T626" s="257"/>
      <c r="U626" s="257"/>
      <c r="V626" s="257"/>
      <c r="W626" s="257"/>
      <c r="X626" s="257"/>
      <c r="Y626" s="257"/>
      <c r="Z626" s="257"/>
    </row>
    <row r="627" ht="14.25" customHeight="1">
      <c r="A627" s="257"/>
      <c r="B627" s="257"/>
      <c r="C627" s="257"/>
      <c r="D627" s="257"/>
      <c r="E627" s="257"/>
      <c r="F627" s="257"/>
      <c r="G627" s="257"/>
      <c r="H627" s="257"/>
      <c r="I627" s="257"/>
      <c r="J627" s="257"/>
      <c r="K627" s="257"/>
      <c r="L627" s="257"/>
      <c r="M627" s="257"/>
      <c r="N627" s="257"/>
      <c r="O627" s="257"/>
      <c r="P627" s="257"/>
      <c r="Q627" s="257"/>
      <c r="R627" s="257"/>
      <c r="S627" s="257"/>
      <c r="T627" s="257"/>
      <c r="U627" s="257"/>
      <c r="V627" s="257"/>
      <c r="W627" s="257"/>
      <c r="X627" s="257"/>
      <c r="Y627" s="257"/>
      <c r="Z627" s="257"/>
    </row>
    <row r="628" ht="14.25" customHeight="1">
      <c r="A628" s="257"/>
      <c r="B628" s="257"/>
      <c r="C628" s="257"/>
      <c r="D628" s="257"/>
      <c r="E628" s="257"/>
      <c r="F628" s="257"/>
      <c r="G628" s="257"/>
      <c r="H628" s="257"/>
      <c r="I628" s="257"/>
      <c r="J628" s="257"/>
      <c r="K628" s="257"/>
      <c r="L628" s="257"/>
      <c r="M628" s="257"/>
      <c r="N628" s="257"/>
      <c r="O628" s="257"/>
      <c r="P628" s="257"/>
      <c r="Q628" s="257"/>
      <c r="R628" s="257"/>
      <c r="S628" s="257"/>
      <c r="T628" s="257"/>
      <c r="U628" s="257"/>
      <c r="V628" s="257"/>
      <c r="W628" s="257"/>
      <c r="X628" s="257"/>
      <c r="Y628" s="257"/>
      <c r="Z628" s="257"/>
    </row>
    <row r="629" ht="14.25" customHeight="1">
      <c r="A629" s="257"/>
      <c r="B629" s="257"/>
      <c r="C629" s="257"/>
      <c r="D629" s="257"/>
      <c r="E629" s="257"/>
      <c r="F629" s="257"/>
      <c r="G629" s="257"/>
      <c r="H629" s="257"/>
      <c r="I629" s="257"/>
      <c r="J629" s="257"/>
      <c r="K629" s="257"/>
      <c r="L629" s="257"/>
      <c r="M629" s="257"/>
      <c r="N629" s="257"/>
      <c r="O629" s="257"/>
      <c r="P629" s="257"/>
      <c r="Q629" s="257"/>
      <c r="R629" s="257"/>
      <c r="S629" s="257"/>
      <c r="T629" s="257"/>
      <c r="U629" s="257"/>
      <c r="V629" s="257"/>
      <c r="W629" s="257"/>
      <c r="X629" s="257"/>
      <c r="Y629" s="257"/>
      <c r="Z629" s="257"/>
    </row>
    <row r="630" ht="14.25" customHeight="1">
      <c r="A630" s="257"/>
      <c r="B630" s="257"/>
      <c r="C630" s="257"/>
      <c r="D630" s="257"/>
      <c r="E630" s="257"/>
      <c r="F630" s="257"/>
      <c r="G630" s="257"/>
      <c r="H630" s="257"/>
      <c r="I630" s="257"/>
      <c r="J630" s="257"/>
      <c r="K630" s="257"/>
      <c r="L630" s="257"/>
      <c r="M630" s="257"/>
      <c r="N630" s="257"/>
      <c r="O630" s="257"/>
      <c r="P630" s="257"/>
      <c r="Q630" s="257"/>
      <c r="R630" s="257"/>
      <c r="S630" s="257"/>
      <c r="T630" s="257"/>
      <c r="U630" s="257"/>
      <c r="V630" s="257"/>
      <c r="W630" s="257"/>
      <c r="X630" s="257"/>
      <c r="Y630" s="257"/>
      <c r="Z630" s="257"/>
    </row>
    <row r="631" ht="14.25" customHeight="1">
      <c r="A631" s="257"/>
      <c r="B631" s="257"/>
      <c r="C631" s="257"/>
      <c r="D631" s="257"/>
      <c r="E631" s="257"/>
      <c r="F631" s="257"/>
      <c r="G631" s="257"/>
      <c r="H631" s="257"/>
      <c r="I631" s="257"/>
      <c r="J631" s="257"/>
      <c r="K631" s="257"/>
      <c r="L631" s="257"/>
      <c r="M631" s="257"/>
      <c r="N631" s="257"/>
      <c r="O631" s="257"/>
      <c r="P631" s="257"/>
      <c r="Q631" s="257"/>
      <c r="R631" s="257"/>
      <c r="S631" s="257"/>
      <c r="T631" s="257"/>
      <c r="U631" s="257"/>
      <c r="V631" s="257"/>
      <c r="W631" s="257"/>
      <c r="X631" s="257"/>
      <c r="Y631" s="257"/>
      <c r="Z631" s="257"/>
    </row>
    <row r="632" ht="14.25" customHeight="1">
      <c r="A632" s="257"/>
      <c r="B632" s="257"/>
      <c r="C632" s="257"/>
      <c r="D632" s="257"/>
      <c r="E632" s="257"/>
      <c r="F632" s="257"/>
      <c r="G632" s="257"/>
      <c r="H632" s="257"/>
      <c r="I632" s="257"/>
      <c r="J632" s="257"/>
      <c r="K632" s="257"/>
      <c r="L632" s="257"/>
      <c r="M632" s="257"/>
      <c r="N632" s="257"/>
      <c r="O632" s="257"/>
      <c r="P632" s="257"/>
      <c r="Q632" s="257"/>
      <c r="R632" s="257"/>
      <c r="S632" s="257"/>
      <c r="T632" s="257"/>
      <c r="U632" s="257"/>
      <c r="V632" s="257"/>
      <c r="W632" s="257"/>
      <c r="X632" s="257"/>
      <c r="Y632" s="257"/>
      <c r="Z632" s="257"/>
    </row>
    <row r="633" ht="14.25" customHeight="1">
      <c r="A633" s="257"/>
      <c r="B633" s="257"/>
      <c r="C633" s="257"/>
      <c r="D633" s="257"/>
      <c r="E633" s="257"/>
      <c r="F633" s="257"/>
      <c r="G633" s="257"/>
      <c r="H633" s="257"/>
      <c r="I633" s="257"/>
      <c r="J633" s="257"/>
      <c r="K633" s="257"/>
      <c r="L633" s="257"/>
      <c r="M633" s="257"/>
      <c r="N633" s="257"/>
      <c r="O633" s="257"/>
      <c r="P633" s="257"/>
      <c r="Q633" s="257"/>
      <c r="R633" s="257"/>
      <c r="S633" s="257"/>
      <c r="T633" s="257"/>
      <c r="U633" s="257"/>
      <c r="V633" s="257"/>
      <c r="W633" s="257"/>
      <c r="X633" s="257"/>
      <c r="Y633" s="257"/>
      <c r="Z633" s="257"/>
    </row>
    <row r="634" ht="14.25" customHeight="1">
      <c r="A634" s="257"/>
      <c r="B634" s="257"/>
      <c r="C634" s="257"/>
      <c r="D634" s="257"/>
      <c r="E634" s="257"/>
      <c r="F634" s="257"/>
      <c r="G634" s="257"/>
      <c r="H634" s="257"/>
      <c r="I634" s="257"/>
      <c r="J634" s="257"/>
      <c r="K634" s="257"/>
      <c r="L634" s="257"/>
      <c r="M634" s="257"/>
      <c r="N634" s="257"/>
      <c r="O634" s="257"/>
      <c r="P634" s="257"/>
      <c r="Q634" s="257"/>
      <c r="R634" s="257"/>
      <c r="S634" s="257"/>
      <c r="T634" s="257"/>
      <c r="U634" s="257"/>
      <c r="V634" s="257"/>
      <c r="W634" s="257"/>
      <c r="X634" s="257"/>
      <c r="Y634" s="257"/>
      <c r="Z634" s="257"/>
    </row>
    <row r="635" ht="14.25" customHeight="1">
      <c r="A635" s="257"/>
      <c r="B635" s="257"/>
      <c r="C635" s="257"/>
      <c r="D635" s="257"/>
      <c r="E635" s="257"/>
      <c r="F635" s="257"/>
      <c r="G635" s="257"/>
      <c r="H635" s="257"/>
      <c r="I635" s="257"/>
      <c r="J635" s="257"/>
      <c r="K635" s="257"/>
      <c r="L635" s="257"/>
      <c r="M635" s="257"/>
      <c r="N635" s="257"/>
      <c r="O635" s="257"/>
      <c r="P635" s="257"/>
      <c r="Q635" s="257"/>
      <c r="R635" s="257"/>
      <c r="S635" s="257"/>
      <c r="T635" s="257"/>
      <c r="U635" s="257"/>
      <c r="V635" s="257"/>
      <c r="W635" s="257"/>
      <c r="X635" s="257"/>
      <c r="Y635" s="257"/>
      <c r="Z635" s="257"/>
    </row>
    <row r="636" ht="14.25" customHeight="1">
      <c r="A636" s="257"/>
      <c r="B636" s="257"/>
      <c r="C636" s="257"/>
      <c r="D636" s="257"/>
      <c r="E636" s="257"/>
      <c r="F636" s="257"/>
      <c r="G636" s="257"/>
      <c r="H636" s="257"/>
      <c r="I636" s="257"/>
      <c r="J636" s="257"/>
      <c r="K636" s="257"/>
      <c r="L636" s="257"/>
      <c r="M636" s="257"/>
      <c r="N636" s="257"/>
      <c r="O636" s="257"/>
      <c r="P636" s="257"/>
      <c r="Q636" s="257"/>
      <c r="R636" s="257"/>
      <c r="S636" s="257"/>
      <c r="T636" s="257"/>
      <c r="U636" s="257"/>
      <c r="V636" s="257"/>
      <c r="W636" s="257"/>
      <c r="X636" s="257"/>
      <c r="Y636" s="257"/>
      <c r="Z636" s="257"/>
    </row>
    <row r="637" ht="14.25" customHeight="1">
      <c r="A637" s="257"/>
      <c r="B637" s="257"/>
      <c r="C637" s="257"/>
      <c r="D637" s="257"/>
      <c r="E637" s="257"/>
      <c r="F637" s="257"/>
      <c r="G637" s="257"/>
      <c r="H637" s="257"/>
      <c r="I637" s="257"/>
      <c r="J637" s="257"/>
      <c r="K637" s="257"/>
      <c r="L637" s="257"/>
      <c r="M637" s="257"/>
      <c r="N637" s="257"/>
      <c r="O637" s="257"/>
      <c r="P637" s="257"/>
      <c r="Q637" s="257"/>
      <c r="R637" s="257"/>
      <c r="S637" s="257"/>
      <c r="T637" s="257"/>
      <c r="U637" s="257"/>
      <c r="V637" s="257"/>
      <c r="W637" s="257"/>
      <c r="X637" s="257"/>
      <c r="Y637" s="257"/>
      <c r="Z637" s="257"/>
    </row>
    <row r="638" ht="14.25" customHeight="1">
      <c r="A638" s="257"/>
      <c r="B638" s="257"/>
      <c r="C638" s="257"/>
      <c r="D638" s="257"/>
      <c r="E638" s="257"/>
      <c r="F638" s="257"/>
      <c r="G638" s="257"/>
      <c r="H638" s="257"/>
      <c r="I638" s="257"/>
      <c r="J638" s="257"/>
      <c r="K638" s="257"/>
      <c r="L638" s="257"/>
      <c r="M638" s="257"/>
      <c r="N638" s="257"/>
      <c r="O638" s="257"/>
      <c r="P638" s="257"/>
      <c r="Q638" s="257"/>
      <c r="R638" s="257"/>
      <c r="S638" s="257"/>
      <c r="T638" s="257"/>
      <c r="U638" s="257"/>
      <c r="V638" s="257"/>
      <c r="W638" s="257"/>
      <c r="X638" s="257"/>
      <c r="Y638" s="257"/>
      <c r="Z638" s="257"/>
    </row>
    <row r="639" ht="14.25" customHeight="1">
      <c r="A639" s="257"/>
      <c r="B639" s="257"/>
      <c r="C639" s="257"/>
      <c r="D639" s="257"/>
      <c r="E639" s="257"/>
      <c r="F639" s="257"/>
      <c r="G639" s="257"/>
      <c r="H639" s="257"/>
      <c r="I639" s="257"/>
      <c r="J639" s="257"/>
      <c r="K639" s="257"/>
      <c r="L639" s="257"/>
      <c r="M639" s="257"/>
      <c r="N639" s="257"/>
      <c r="O639" s="257"/>
      <c r="P639" s="257"/>
      <c r="Q639" s="257"/>
      <c r="R639" s="257"/>
      <c r="S639" s="257"/>
      <c r="T639" s="257"/>
      <c r="U639" s="257"/>
      <c r="V639" s="257"/>
      <c r="W639" s="257"/>
      <c r="X639" s="257"/>
      <c r="Y639" s="257"/>
      <c r="Z639" s="257"/>
    </row>
    <row r="640" ht="14.25" customHeight="1">
      <c r="A640" s="257"/>
      <c r="B640" s="257"/>
      <c r="C640" s="257"/>
      <c r="D640" s="257"/>
      <c r="E640" s="257"/>
      <c r="F640" s="257"/>
      <c r="G640" s="257"/>
      <c r="H640" s="257"/>
      <c r="I640" s="257"/>
      <c r="J640" s="257"/>
      <c r="K640" s="257"/>
      <c r="L640" s="257"/>
      <c r="M640" s="257"/>
      <c r="N640" s="257"/>
      <c r="O640" s="257"/>
      <c r="P640" s="257"/>
      <c r="Q640" s="257"/>
      <c r="R640" s="257"/>
      <c r="S640" s="257"/>
      <c r="T640" s="257"/>
      <c r="U640" s="257"/>
      <c r="V640" s="257"/>
      <c r="W640" s="257"/>
      <c r="X640" s="257"/>
      <c r="Y640" s="257"/>
      <c r="Z640" s="257"/>
    </row>
    <row r="641" ht="14.25" customHeight="1">
      <c r="A641" s="257"/>
      <c r="B641" s="257"/>
      <c r="C641" s="257"/>
      <c r="D641" s="257"/>
      <c r="E641" s="257"/>
      <c r="F641" s="257"/>
      <c r="G641" s="257"/>
      <c r="H641" s="257"/>
      <c r="I641" s="257"/>
      <c r="J641" s="257"/>
      <c r="K641" s="257"/>
      <c r="L641" s="257"/>
      <c r="M641" s="257"/>
      <c r="N641" s="257"/>
      <c r="O641" s="257"/>
      <c r="P641" s="257"/>
      <c r="Q641" s="257"/>
      <c r="R641" s="257"/>
      <c r="S641" s="257"/>
      <c r="T641" s="257"/>
      <c r="U641" s="257"/>
      <c r="V641" s="257"/>
      <c r="W641" s="257"/>
      <c r="X641" s="257"/>
      <c r="Y641" s="257"/>
      <c r="Z641" s="257"/>
    </row>
    <row r="642" ht="14.25" customHeight="1">
      <c r="A642" s="257"/>
      <c r="B642" s="257"/>
      <c r="C642" s="257"/>
      <c r="D642" s="257"/>
      <c r="E642" s="257"/>
      <c r="F642" s="257"/>
      <c r="G642" s="257"/>
      <c r="H642" s="257"/>
      <c r="I642" s="257"/>
      <c r="J642" s="257"/>
      <c r="K642" s="257"/>
      <c r="L642" s="257"/>
      <c r="M642" s="257"/>
      <c r="N642" s="257"/>
      <c r="O642" s="257"/>
      <c r="P642" s="257"/>
      <c r="Q642" s="257"/>
      <c r="R642" s="257"/>
      <c r="S642" s="257"/>
      <c r="T642" s="257"/>
      <c r="U642" s="257"/>
      <c r="V642" s="257"/>
      <c r="W642" s="257"/>
      <c r="X642" s="257"/>
      <c r="Y642" s="257"/>
      <c r="Z642" s="257"/>
    </row>
    <row r="643" ht="14.25" customHeight="1">
      <c r="A643" s="257"/>
      <c r="B643" s="257"/>
      <c r="C643" s="257"/>
      <c r="D643" s="257"/>
      <c r="E643" s="257"/>
      <c r="F643" s="257"/>
      <c r="G643" s="257"/>
      <c r="H643" s="257"/>
      <c r="I643" s="257"/>
      <c r="J643" s="257"/>
      <c r="K643" s="257"/>
      <c r="L643" s="257"/>
      <c r="M643" s="257"/>
      <c r="N643" s="257"/>
      <c r="O643" s="257"/>
      <c r="P643" s="257"/>
      <c r="Q643" s="257"/>
      <c r="R643" s="257"/>
      <c r="S643" s="257"/>
      <c r="T643" s="257"/>
      <c r="U643" s="257"/>
      <c r="V643" s="257"/>
      <c r="W643" s="257"/>
      <c r="X643" s="257"/>
      <c r="Y643" s="257"/>
      <c r="Z643" s="257"/>
    </row>
    <row r="644" ht="14.25" customHeight="1">
      <c r="A644" s="257"/>
      <c r="B644" s="257"/>
      <c r="C644" s="257"/>
      <c r="D644" s="257"/>
      <c r="E644" s="257"/>
      <c r="F644" s="257"/>
      <c r="G644" s="257"/>
      <c r="H644" s="257"/>
      <c r="I644" s="257"/>
      <c r="J644" s="257"/>
      <c r="K644" s="257"/>
      <c r="L644" s="257"/>
      <c r="M644" s="257"/>
      <c r="N644" s="257"/>
      <c r="O644" s="257"/>
      <c r="P644" s="257"/>
      <c r="Q644" s="257"/>
      <c r="R644" s="257"/>
      <c r="S644" s="257"/>
      <c r="T644" s="257"/>
      <c r="U644" s="257"/>
      <c r="V644" s="257"/>
      <c r="W644" s="257"/>
      <c r="X644" s="257"/>
      <c r="Y644" s="257"/>
      <c r="Z644" s="257"/>
    </row>
    <row r="645" ht="14.25" customHeight="1">
      <c r="A645" s="257"/>
      <c r="B645" s="257"/>
      <c r="C645" s="257"/>
      <c r="D645" s="257"/>
      <c r="E645" s="257"/>
      <c r="F645" s="257"/>
      <c r="G645" s="257"/>
      <c r="H645" s="257"/>
      <c r="I645" s="257"/>
      <c r="J645" s="257"/>
      <c r="K645" s="257"/>
      <c r="L645" s="257"/>
      <c r="M645" s="257"/>
      <c r="N645" s="257"/>
      <c r="O645" s="257"/>
      <c r="P645" s="257"/>
      <c r="Q645" s="257"/>
      <c r="R645" s="257"/>
      <c r="S645" s="257"/>
      <c r="T645" s="257"/>
      <c r="U645" s="257"/>
      <c r="V645" s="257"/>
      <c r="W645" s="257"/>
      <c r="X645" s="257"/>
      <c r="Y645" s="257"/>
      <c r="Z645" s="257"/>
    </row>
    <row r="646" ht="14.25" customHeight="1">
      <c r="A646" s="257"/>
      <c r="B646" s="257"/>
      <c r="C646" s="257"/>
      <c r="D646" s="257"/>
      <c r="E646" s="257"/>
      <c r="F646" s="257"/>
      <c r="G646" s="257"/>
      <c r="H646" s="257"/>
      <c r="I646" s="257"/>
      <c r="J646" s="257"/>
      <c r="K646" s="257"/>
      <c r="L646" s="257"/>
      <c r="M646" s="257"/>
      <c r="N646" s="257"/>
      <c r="O646" s="257"/>
      <c r="P646" s="257"/>
      <c r="Q646" s="257"/>
      <c r="R646" s="257"/>
      <c r="S646" s="257"/>
      <c r="T646" s="257"/>
      <c r="U646" s="257"/>
      <c r="V646" s="257"/>
      <c r="W646" s="257"/>
      <c r="X646" s="257"/>
      <c r="Y646" s="257"/>
      <c r="Z646" s="257"/>
    </row>
    <row r="647" ht="14.25" customHeight="1">
      <c r="A647" s="257"/>
      <c r="B647" s="257"/>
      <c r="C647" s="257"/>
      <c r="D647" s="257"/>
      <c r="E647" s="257"/>
      <c r="F647" s="257"/>
      <c r="G647" s="257"/>
      <c r="H647" s="257"/>
      <c r="I647" s="257"/>
      <c r="J647" s="257"/>
      <c r="K647" s="257"/>
      <c r="L647" s="257"/>
      <c r="M647" s="257"/>
      <c r="N647" s="257"/>
      <c r="O647" s="257"/>
      <c r="P647" s="257"/>
      <c r="Q647" s="257"/>
      <c r="R647" s="257"/>
      <c r="S647" s="257"/>
      <c r="T647" s="257"/>
      <c r="U647" s="257"/>
      <c r="V647" s="257"/>
      <c r="W647" s="257"/>
      <c r="X647" s="257"/>
      <c r="Y647" s="257"/>
      <c r="Z647" s="257"/>
    </row>
    <row r="648" ht="14.25" customHeight="1">
      <c r="A648" s="257"/>
      <c r="B648" s="257"/>
      <c r="C648" s="257"/>
      <c r="D648" s="257"/>
      <c r="E648" s="257"/>
      <c r="F648" s="257"/>
      <c r="G648" s="257"/>
      <c r="H648" s="257"/>
      <c r="I648" s="257"/>
      <c r="J648" s="257"/>
      <c r="K648" s="257"/>
      <c r="L648" s="257"/>
      <c r="M648" s="257"/>
      <c r="N648" s="257"/>
      <c r="O648" s="257"/>
      <c r="P648" s="257"/>
      <c r="Q648" s="257"/>
      <c r="R648" s="257"/>
      <c r="S648" s="257"/>
      <c r="T648" s="257"/>
      <c r="U648" s="257"/>
      <c r="V648" s="257"/>
      <c r="W648" s="257"/>
      <c r="X648" s="257"/>
      <c r="Y648" s="257"/>
      <c r="Z648" s="257"/>
    </row>
    <row r="649" ht="14.25" customHeight="1">
      <c r="A649" s="257"/>
      <c r="B649" s="257"/>
      <c r="C649" s="257"/>
      <c r="D649" s="257"/>
      <c r="E649" s="257"/>
      <c r="F649" s="257"/>
      <c r="G649" s="257"/>
      <c r="H649" s="257"/>
      <c r="I649" s="257"/>
      <c r="J649" s="257"/>
      <c r="K649" s="257"/>
      <c r="L649" s="257"/>
      <c r="M649" s="257"/>
      <c r="N649" s="257"/>
      <c r="O649" s="257"/>
      <c r="P649" s="257"/>
      <c r="Q649" s="257"/>
      <c r="R649" s="257"/>
      <c r="S649" s="257"/>
      <c r="T649" s="257"/>
      <c r="U649" s="257"/>
      <c r="V649" s="257"/>
      <c r="W649" s="257"/>
      <c r="X649" s="257"/>
      <c r="Y649" s="257"/>
      <c r="Z649" s="257"/>
    </row>
    <row r="650" ht="14.25" customHeight="1">
      <c r="A650" s="257"/>
      <c r="B650" s="257"/>
      <c r="C650" s="257"/>
      <c r="D650" s="257"/>
      <c r="E650" s="257"/>
      <c r="F650" s="257"/>
      <c r="G650" s="257"/>
      <c r="H650" s="257"/>
      <c r="I650" s="257"/>
      <c r="J650" s="257"/>
      <c r="K650" s="257"/>
      <c r="L650" s="257"/>
      <c r="M650" s="257"/>
      <c r="N650" s="257"/>
      <c r="O650" s="257"/>
      <c r="P650" s="257"/>
      <c r="Q650" s="257"/>
      <c r="R650" s="257"/>
      <c r="S650" s="257"/>
      <c r="T650" s="257"/>
      <c r="U650" s="257"/>
      <c r="V650" s="257"/>
      <c r="W650" s="257"/>
      <c r="X650" s="257"/>
      <c r="Y650" s="257"/>
      <c r="Z650" s="257"/>
    </row>
    <row r="651" ht="14.25" customHeight="1">
      <c r="A651" s="257"/>
      <c r="B651" s="257"/>
      <c r="C651" s="257"/>
      <c r="D651" s="257"/>
      <c r="E651" s="257"/>
      <c r="F651" s="257"/>
      <c r="G651" s="257"/>
      <c r="H651" s="257"/>
      <c r="I651" s="257"/>
      <c r="J651" s="257"/>
      <c r="K651" s="257"/>
      <c r="L651" s="257"/>
      <c r="M651" s="257"/>
      <c r="N651" s="257"/>
      <c r="O651" s="257"/>
      <c r="P651" s="257"/>
      <c r="Q651" s="257"/>
      <c r="R651" s="257"/>
      <c r="S651" s="257"/>
      <c r="T651" s="257"/>
      <c r="U651" s="257"/>
      <c r="V651" s="257"/>
      <c r="W651" s="257"/>
      <c r="X651" s="257"/>
      <c r="Y651" s="257"/>
      <c r="Z651" s="257"/>
    </row>
    <row r="652" ht="14.25" customHeight="1">
      <c r="A652" s="257"/>
      <c r="B652" s="257"/>
      <c r="C652" s="257"/>
      <c r="D652" s="257"/>
      <c r="E652" s="257"/>
      <c r="F652" s="257"/>
      <c r="G652" s="257"/>
      <c r="H652" s="257"/>
      <c r="I652" s="257"/>
      <c r="J652" s="257"/>
      <c r="K652" s="257"/>
      <c r="L652" s="257"/>
      <c r="M652" s="257"/>
      <c r="N652" s="257"/>
      <c r="O652" s="257"/>
      <c r="P652" s="257"/>
      <c r="Q652" s="257"/>
      <c r="R652" s="257"/>
      <c r="S652" s="257"/>
      <c r="T652" s="257"/>
      <c r="U652" s="257"/>
      <c r="V652" s="257"/>
      <c r="W652" s="257"/>
      <c r="X652" s="257"/>
      <c r="Y652" s="257"/>
      <c r="Z652" s="257"/>
    </row>
    <row r="653" ht="14.25" customHeight="1">
      <c r="A653" s="257"/>
      <c r="B653" s="257"/>
      <c r="C653" s="257"/>
      <c r="D653" s="257"/>
      <c r="E653" s="257"/>
      <c r="F653" s="257"/>
      <c r="G653" s="257"/>
      <c r="H653" s="257"/>
      <c r="I653" s="257"/>
      <c r="J653" s="257"/>
      <c r="K653" s="257"/>
      <c r="L653" s="257"/>
      <c r="M653" s="257"/>
      <c r="N653" s="257"/>
      <c r="O653" s="257"/>
      <c r="P653" s="257"/>
      <c r="Q653" s="257"/>
      <c r="R653" s="257"/>
      <c r="S653" s="257"/>
      <c r="T653" s="257"/>
      <c r="U653" s="257"/>
      <c r="V653" s="257"/>
      <c r="W653" s="257"/>
      <c r="X653" s="257"/>
      <c r="Y653" s="257"/>
      <c r="Z653" s="257"/>
    </row>
    <row r="654" ht="14.25" customHeight="1">
      <c r="A654" s="257"/>
      <c r="B654" s="257"/>
      <c r="C654" s="257"/>
      <c r="D654" s="257"/>
      <c r="E654" s="257"/>
      <c r="F654" s="257"/>
      <c r="G654" s="257"/>
      <c r="H654" s="257"/>
      <c r="I654" s="257"/>
      <c r="J654" s="257"/>
      <c r="K654" s="257"/>
      <c r="L654" s="257"/>
      <c r="M654" s="257"/>
      <c r="N654" s="257"/>
      <c r="O654" s="257"/>
      <c r="P654" s="257"/>
      <c r="Q654" s="257"/>
      <c r="R654" s="257"/>
      <c r="S654" s="257"/>
      <c r="T654" s="257"/>
      <c r="U654" s="257"/>
      <c r="V654" s="257"/>
      <c r="W654" s="257"/>
      <c r="X654" s="257"/>
      <c r="Y654" s="257"/>
      <c r="Z654" s="257"/>
    </row>
    <row r="655" ht="14.25" customHeight="1">
      <c r="A655" s="257"/>
      <c r="B655" s="257"/>
      <c r="C655" s="257"/>
      <c r="D655" s="257"/>
      <c r="E655" s="257"/>
      <c r="F655" s="257"/>
      <c r="G655" s="257"/>
      <c r="H655" s="257"/>
      <c r="I655" s="257"/>
      <c r="J655" s="257"/>
      <c r="K655" s="257"/>
      <c r="L655" s="257"/>
      <c r="M655" s="257"/>
      <c r="N655" s="257"/>
      <c r="O655" s="257"/>
      <c r="P655" s="257"/>
      <c r="Q655" s="257"/>
      <c r="R655" s="257"/>
      <c r="S655" s="257"/>
      <c r="T655" s="257"/>
      <c r="U655" s="257"/>
      <c r="V655" s="257"/>
      <c r="W655" s="257"/>
      <c r="X655" s="257"/>
      <c r="Y655" s="257"/>
      <c r="Z655" s="257"/>
    </row>
    <row r="656" ht="14.25" customHeight="1">
      <c r="A656" s="257"/>
      <c r="B656" s="257"/>
      <c r="C656" s="257"/>
      <c r="D656" s="257"/>
      <c r="E656" s="257"/>
      <c r="F656" s="257"/>
      <c r="G656" s="257"/>
      <c r="H656" s="257"/>
      <c r="I656" s="257"/>
      <c r="J656" s="257"/>
      <c r="K656" s="257"/>
      <c r="L656" s="257"/>
      <c r="M656" s="257"/>
      <c r="N656" s="257"/>
      <c r="O656" s="257"/>
      <c r="P656" s="257"/>
      <c r="Q656" s="257"/>
      <c r="R656" s="257"/>
      <c r="S656" s="257"/>
      <c r="T656" s="257"/>
      <c r="U656" s="257"/>
      <c r="V656" s="257"/>
      <c r="W656" s="257"/>
      <c r="X656" s="257"/>
      <c r="Y656" s="257"/>
      <c r="Z656" s="257"/>
    </row>
    <row r="657" ht="14.25" customHeight="1">
      <c r="A657" s="257"/>
      <c r="B657" s="257"/>
      <c r="C657" s="257"/>
      <c r="D657" s="257"/>
      <c r="E657" s="257"/>
      <c r="F657" s="257"/>
      <c r="G657" s="257"/>
      <c r="H657" s="257"/>
      <c r="I657" s="257"/>
      <c r="J657" s="257"/>
      <c r="K657" s="257"/>
      <c r="L657" s="257"/>
      <c r="M657" s="257"/>
      <c r="N657" s="257"/>
      <c r="O657" s="257"/>
      <c r="P657" s="257"/>
      <c r="Q657" s="257"/>
      <c r="R657" s="257"/>
      <c r="S657" s="257"/>
      <c r="T657" s="257"/>
      <c r="U657" s="257"/>
      <c r="V657" s="257"/>
      <c r="W657" s="257"/>
      <c r="X657" s="257"/>
      <c r="Y657" s="257"/>
      <c r="Z657" s="257"/>
    </row>
    <row r="658" ht="14.25" customHeight="1">
      <c r="A658" s="257"/>
      <c r="B658" s="257"/>
      <c r="C658" s="257"/>
      <c r="D658" s="257"/>
      <c r="E658" s="257"/>
      <c r="F658" s="257"/>
      <c r="G658" s="257"/>
      <c r="H658" s="257"/>
      <c r="I658" s="257"/>
      <c r="J658" s="257"/>
      <c r="K658" s="257"/>
      <c r="L658" s="257"/>
      <c r="M658" s="257"/>
      <c r="N658" s="257"/>
      <c r="O658" s="257"/>
      <c r="P658" s="257"/>
      <c r="Q658" s="257"/>
      <c r="R658" s="257"/>
      <c r="S658" s="257"/>
      <c r="T658" s="257"/>
      <c r="U658" s="257"/>
      <c r="V658" s="257"/>
      <c r="W658" s="257"/>
      <c r="X658" s="257"/>
      <c r="Y658" s="257"/>
      <c r="Z658" s="257"/>
    </row>
    <row r="659" ht="14.25" customHeight="1">
      <c r="A659" s="257"/>
      <c r="B659" s="257"/>
      <c r="C659" s="257"/>
      <c r="D659" s="257"/>
      <c r="E659" s="257"/>
      <c r="F659" s="257"/>
      <c r="G659" s="257"/>
      <c r="H659" s="257"/>
      <c r="I659" s="257"/>
      <c r="J659" s="257"/>
      <c r="K659" s="257"/>
      <c r="L659" s="257"/>
      <c r="M659" s="257"/>
      <c r="N659" s="257"/>
      <c r="O659" s="257"/>
      <c r="P659" s="257"/>
      <c r="Q659" s="257"/>
      <c r="R659" s="257"/>
      <c r="S659" s="257"/>
      <c r="T659" s="257"/>
      <c r="U659" s="257"/>
      <c r="V659" s="257"/>
      <c r="W659" s="257"/>
      <c r="X659" s="257"/>
      <c r="Y659" s="257"/>
      <c r="Z659" s="257"/>
    </row>
    <row r="660" ht="14.25" customHeight="1">
      <c r="A660" s="257"/>
      <c r="B660" s="257"/>
      <c r="C660" s="257"/>
      <c r="D660" s="257"/>
      <c r="E660" s="257"/>
      <c r="F660" s="257"/>
      <c r="G660" s="257"/>
      <c r="H660" s="257"/>
      <c r="I660" s="257"/>
      <c r="J660" s="257"/>
      <c r="K660" s="257"/>
      <c r="L660" s="257"/>
      <c r="M660" s="257"/>
      <c r="N660" s="257"/>
      <c r="O660" s="257"/>
      <c r="P660" s="257"/>
      <c r="Q660" s="257"/>
      <c r="R660" s="257"/>
      <c r="S660" s="257"/>
      <c r="T660" s="257"/>
      <c r="U660" s="257"/>
      <c r="V660" s="257"/>
      <c r="W660" s="257"/>
      <c r="X660" s="257"/>
      <c r="Y660" s="257"/>
      <c r="Z660" s="257"/>
    </row>
    <row r="661" ht="14.25" customHeight="1">
      <c r="A661" s="257"/>
      <c r="B661" s="257"/>
      <c r="C661" s="257"/>
      <c r="D661" s="257"/>
      <c r="E661" s="257"/>
      <c r="F661" s="257"/>
      <c r="G661" s="257"/>
      <c r="H661" s="257"/>
      <c r="I661" s="257"/>
      <c r="J661" s="257"/>
      <c r="K661" s="257"/>
      <c r="L661" s="257"/>
      <c r="M661" s="257"/>
      <c r="N661" s="257"/>
      <c r="O661" s="257"/>
      <c r="P661" s="257"/>
      <c r="Q661" s="257"/>
      <c r="R661" s="257"/>
      <c r="S661" s="257"/>
      <c r="T661" s="257"/>
      <c r="U661" s="257"/>
      <c r="V661" s="257"/>
      <c r="W661" s="257"/>
      <c r="X661" s="257"/>
      <c r="Y661" s="257"/>
      <c r="Z661" s="257"/>
    </row>
    <row r="662" ht="14.25" customHeight="1">
      <c r="A662" s="257"/>
      <c r="B662" s="257"/>
      <c r="C662" s="257"/>
      <c r="D662" s="257"/>
      <c r="E662" s="257"/>
      <c r="F662" s="257"/>
      <c r="G662" s="257"/>
      <c r="H662" s="257"/>
      <c r="I662" s="257"/>
      <c r="J662" s="257"/>
      <c r="K662" s="257"/>
      <c r="L662" s="257"/>
      <c r="M662" s="257"/>
      <c r="N662" s="257"/>
      <c r="O662" s="257"/>
      <c r="P662" s="257"/>
      <c r="Q662" s="257"/>
      <c r="R662" s="257"/>
      <c r="S662" s="257"/>
      <c r="T662" s="257"/>
      <c r="U662" s="257"/>
      <c r="V662" s="257"/>
      <c r="W662" s="257"/>
      <c r="X662" s="257"/>
      <c r="Y662" s="257"/>
      <c r="Z662" s="257"/>
    </row>
    <row r="663" ht="14.25" customHeight="1">
      <c r="A663" s="257"/>
      <c r="B663" s="257"/>
      <c r="C663" s="257"/>
      <c r="D663" s="257"/>
      <c r="E663" s="257"/>
      <c r="F663" s="257"/>
      <c r="G663" s="257"/>
      <c r="H663" s="257"/>
      <c r="I663" s="257"/>
      <c r="J663" s="257"/>
      <c r="K663" s="257"/>
      <c r="L663" s="257"/>
      <c r="M663" s="257"/>
      <c r="N663" s="257"/>
      <c r="O663" s="257"/>
      <c r="P663" s="257"/>
      <c r="Q663" s="257"/>
      <c r="R663" s="257"/>
      <c r="S663" s="257"/>
      <c r="T663" s="257"/>
      <c r="U663" s="257"/>
      <c r="V663" s="257"/>
      <c r="W663" s="257"/>
      <c r="X663" s="257"/>
      <c r="Y663" s="257"/>
      <c r="Z663" s="257"/>
    </row>
    <row r="664" ht="14.25" customHeight="1">
      <c r="A664" s="257"/>
      <c r="B664" s="257"/>
      <c r="C664" s="257"/>
      <c r="D664" s="257"/>
      <c r="E664" s="257"/>
      <c r="F664" s="257"/>
      <c r="G664" s="257"/>
      <c r="H664" s="257"/>
      <c r="I664" s="257"/>
      <c r="J664" s="257"/>
      <c r="K664" s="257"/>
      <c r="L664" s="257"/>
      <c r="M664" s="257"/>
      <c r="N664" s="257"/>
      <c r="O664" s="257"/>
      <c r="P664" s="257"/>
      <c r="Q664" s="257"/>
      <c r="R664" s="257"/>
      <c r="S664" s="257"/>
      <c r="T664" s="257"/>
      <c r="U664" s="257"/>
      <c r="V664" s="257"/>
      <c r="W664" s="257"/>
      <c r="X664" s="257"/>
      <c r="Y664" s="257"/>
      <c r="Z664" s="257"/>
    </row>
    <row r="665" ht="14.25" customHeight="1">
      <c r="A665" s="257"/>
      <c r="B665" s="257"/>
      <c r="C665" s="257"/>
      <c r="D665" s="257"/>
      <c r="E665" s="257"/>
      <c r="F665" s="257"/>
      <c r="G665" s="257"/>
      <c r="H665" s="257"/>
      <c r="I665" s="257"/>
      <c r="J665" s="257"/>
      <c r="K665" s="257"/>
      <c r="L665" s="257"/>
      <c r="M665" s="257"/>
      <c r="N665" s="257"/>
      <c r="O665" s="257"/>
      <c r="P665" s="257"/>
      <c r="Q665" s="257"/>
      <c r="R665" s="257"/>
      <c r="S665" s="257"/>
      <c r="T665" s="257"/>
      <c r="U665" s="257"/>
      <c r="V665" s="257"/>
      <c r="W665" s="257"/>
      <c r="X665" s="257"/>
      <c r="Y665" s="257"/>
      <c r="Z665" s="257"/>
    </row>
    <row r="666" ht="14.25" customHeight="1">
      <c r="A666" s="257"/>
      <c r="B666" s="257"/>
      <c r="C666" s="257"/>
      <c r="D666" s="257"/>
      <c r="E666" s="257"/>
      <c r="F666" s="257"/>
      <c r="G666" s="257"/>
      <c r="H666" s="257"/>
      <c r="I666" s="257"/>
      <c r="J666" s="257"/>
      <c r="K666" s="257"/>
      <c r="L666" s="257"/>
      <c r="M666" s="257"/>
      <c r="N666" s="257"/>
      <c r="O666" s="257"/>
      <c r="P666" s="257"/>
      <c r="Q666" s="257"/>
      <c r="R666" s="257"/>
      <c r="S666" s="257"/>
      <c r="T666" s="257"/>
      <c r="U666" s="257"/>
      <c r="V666" s="257"/>
      <c r="W666" s="257"/>
      <c r="X666" s="257"/>
      <c r="Y666" s="257"/>
      <c r="Z666" s="257"/>
    </row>
    <row r="667" ht="14.25" customHeight="1">
      <c r="A667" s="257"/>
      <c r="B667" s="257"/>
      <c r="C667" s="257"/>
      <c r="D667" s="257"/>
      <c r="E667" s="257"/>
      <c r="F667" s="257"/>
      <c r="G667" s="257"/>
      <c r="H667" s="257"/>
      <c r="I667" s="257"/>
      <c r="J667" s="257"/>
      <c r="K667" s="257"/>
      <c r="L667" s="257"/>
      <c r="M667" s="257"/>
      <c r="N667" s="257"/>
      <c r="O667" s="257"/>
      <c r="P667" s="257"/>
      <c r="Q667" s="257"/>
      <c r="R667" s="257"/>
      <c r="S667" s="257"/>
      <c r="T667" s="257"/>
      <c r="U667" s="257"/>
      <c r="V667" s="257"/>
      <c r="W667" s="257"/>
      <c r="X667" s="257"/>
      <c r="Y667" s="257"/>
      <c r="Z667" s="257"/>
    </row>
    <row r="668" ht="14.25" customHeight="1">
      <c r="A668" s="257"/>
      <c r="B668" s="257"/>
      <c r="C668" s="257"/>
      <c r="D668" s="257"/>
      <c r="E668" s="257"/>
      <c r="F668" s="257"/>
      <c r="G668" s="257"/>
      <c r="H668" s="257"/>
      <c r="I668" s="257"/>
      <c r="J668" s="257"/>
      <c r="K668" s="257"/>
      <c r="L668" s="257"/>
      <c r="M668" s="257"/>
      <c r="N668" s="257"/>
      <c r="O668" s="257"/>
      <c r="P668" s="257"/>
      <c r="Q668" s="257"/>
      <c r="R668" s="257"/>
      <c r="S668" s="257"/>
      <c r="T668" s="257"/>
      <c r="U668" s="257"/>
      <c r="V668" s="257"/>
      <c r="W668" s="257"/>
      <c r="X668" s="257"/>
      <c r="Y668" s="257"/>
      <c r="Z668" s="257"/>
    </row>
    <row r="669" ht="14.25" customHeight="1">
      <c r="A669" s="257"/>
      <c r="B669" s="257"/>
      <c r="C669" s="257"/>
      <c r="D669" s="257"/>
      <c r="E669" s="257"/>
      <c r="F669" s="257"/>
      <c r="G669" s="257"/>
      <c r="H669" s="257"/>
      <c r="I669" s="257"/>
      <c r="J669" s="257"/>
      <c r="K669" s="257"/>
      <c r="L669" s="257"/>
      <c r="M669" s="257"/>
      <c r="N669" s="257"/>
      <c r="O669" s="257"/>
      <c r="P669" s="257"/>
      <c r="Q669" s="257"/>
      <c r="R669" s="257"/>
      <c r="S669" s="257"/>
      <c r="T669" s="257"/>
      <c r="U669" s="257"/>
      <c r="V669" s="257"/>
      <c r="W669" s="257"/>
      <c r="X669" s="257"/>
      <c r="Y669" s="257"/>
      <c r="Z669" s="257"/>
    </row>
    <row r="670" ht="14.25" customHeight="1">
      <c r="A670" s="257"/>
      <c r="B670" s="257"/>
      <c r="C670" s="257"/>
      <c r="D670" s="257"/>
      <c r="E670" s="257"/>
      <c r="F670" s="257"/>
      <c r="G670" s="257"/>
      <c r="H670" s="257"/>
      <c r="I670" s="257"/>
      <c r="J670" s="257"/>
      <c r="K670" s="257"/>
      <c r="L670" s="257"/>
      <c r="M670" s="257"/>
      <c r="N670" s="257"/>
      <c r="O670" s="257"/>
      <c r="P670" s="257"/>
      <c r="Q670" s="257"/>
      <c r="R670" s="257"/>
      <c r="S670" s="257"/>
      <c r="T670" s="257"/>
      <c r="U670" s="257"/>
      <c r="V670" s="257"/>
      <c r="W670" s="257"/>
      <c r="X670" s="257"/>
      <c r="Y670" s="257"/>
      <c r="Z670" s="257"/>
    </row>
    <row r="671" ht="14.25" customHeight="1">
      <c r="A671" s="257"/>
      <c r="B671" s="257"/>
      <c r="C671" s="257"/>
      <c r="D671" s="257"/>
      <c r="E671" s="257"/>
      <c r="F671" s="257"/>
      <c r="G671" s="257"/>
      <c r="H671" s="257"/>
      <c r="I671" s="257"/>
      <c r="J671" s="257"/>
      <c r="K671" s="257"/>
      <c r="L671" s="257"/>
      <c r="M671" s="257"/>
      <c r="N671" s="257"/>
      <c r="O671" s="257"/>
      <c r="P671" s="257"/>
      <c r="Q671" s="257"/>
      <c r="R671" s="257"/>
      <c r="S671" s="257"/>
      <c r="T671" s="257"/>
      <c r="U671" s="257"/>
      <c r="V671" s="257"/>
      <c r="W671" s="257"/>
      <c r="X671" s="257"/>
      <c r="Y671" s="257"/>
      <c r="Z671" s="257"/>
    </row>
    <row r="672" ht="14.25" customHeight="1">
      <c r="A672" s="257"/>
      <c r="B672" s="257"/>
      <c r="C672" s="257"/>
      <c r="D672" s="257"/>
      <c r="E672" s="257"/>
      <c r="F672" s="257"/>
      <c r="G672" s="257"/>
      <c r="H672" s="257"/>
      <c r="I672" s="257"/>
      <c r="J672" s="257"/>
      <c r="K672" s="257"/>
      <c r="L672" s="257"/>
      <c r="M672" s="257"/>
      <c r="N672" s="257"/>
      <c r="O672" s="257"/>
      <c r="P672" s="257"/>
      <c r="Q672" s="257"/>
      <c r="R672" s="257"/>
      <c r="S672" s="257"/>
      <c r="T672" s="257"/>
      <c r="U672" s="257"/>
      <c r="V672" s="257"/>
      <c r="W672" s="257"/>
      <c r="X672" s="257"/>
      <c r="Y672" s="257"/>
      <c r="Z672" s="257"/>
    </row>
    <row r="673" ht="14.25" customHeight="1">
      <c r="A673" s="257"/>
      <c r="B673" s="257"/>
      <c r="C673" s="257"/>
      <c r="D673" s="257"/>
      <c r="E673" s="257"/>
      <c r="F673" s="257"/>
      <c r="G673" s="257"/>
      <c r="H673" s="257"/>
      <c r="I673" s="257"/>
      <c r="J673" s="257"/>
      <c r="K673" s="257"/>
      <c r="L673" s="257"/>
      <c r="M673" s="257"/>
      <c r="N673" s="257"/>
      <c r="O673" s="257"/>
      <c r="P673" s="257"/>
      <c r="Q673" s="257"/>
      <c r="R673" s="257"/>
      <c r="S673" s="257"/>
      <c r="T673" s="257"/>
      <c r="U673" s="257"/>
      <c r="V673" s="257"/>
      <c r="W673" s="257"/>
      <c r="X673" s="257"/>
      <c r="Y673" s="257"/>
      <c r="Z673" s="257"/>
    </row>
    <row r="674" ht="14.25" customHeight="1">
      <c r="A674" s="257"/>
      <c r="B674" s="257"/>
      <c r="C674" s="257"/>
      <c r="D674" s="257"/>
      <c r="E674" s="257"/>
      <c r="F674" s="257"/>
      <c r="G674" s="257"/>
      <c r="H674" s="257"/>
      <c r="I674" s="257"/>
      <c r="J674" s="257"/>
      <c r="K674" s="257"/>
      <c r="L674" s="257"/>
      <c r="M674" s="257"/>
      <c r="N674" s="257"/>
      <c r="O674" s="257"/>
      <c r="P674" s="257"/>
      <c r="Q674" s="257"/>
      <c r="R674" s="257"/>
      <c r="S674" s="257"/>
      <c r="T674" s="257"/>
      <c r="U674" s="257"/>
      <c r="V674" s="257"/>
      <c r="W674" s="257"/>
      <c r="X674" s="257"/>
      <c r="Y674" s="257"/>
      <c r="Z674" s="257"/>
    </row>
    <row r="675" ht="14.25" customHeight="1">
      <c r="A675" s="257"/>
      <c r="B675" s="257"/>
      <c r="C675" s="257"/>
      <c r="D675" s="257"/>
      <c r="E675" s="257"/>
      <c r="F675" s="257"/>
      <c r="G675" s="257"/>
      <c r="H675" s="257"/>
      <c r="I675" s="257"/>
      <c r="J675" s="257"/>
      <c r="K675" s="257"/>
      <c r="L675" s="257"/>
      <c r="M675" s="257"/>
      <c r="N675" s="257"/>
      <c r="O675" s="257"/>
      <c r="P675" s="257"/>
      <c r="Q675" s="257"/>
      <c r="R675" s="257"/>
      <c r="S675" s="257"/>
      <c r="T675" s="257"/>
      <c r="U675" s="257"/>
      <c r="V675" s="257"/>
      <c r="W675" s="257"/>
      <c r="X675" s="257"/>
      <c r="Y675" s="257"/>
      <c r="Z675" s="257"/>
    </row>
    <row r="676" ht="14.25" customHeight="1">
      <c r="A676" s="257"/>
      <c r="B676" s="257"/>
      <c r="C676" s="257"/>
      <c r="D676" s="257"/>
      <c r="E676" s="257"/>
      <c r="F676" s="257"/>
      <c r="G676" s="257"/>
      <c r="H676" s="257"/>
      <c r="I676" s="257"/>
      <c r="J676" s="257"/>
      <c r="K676" s="257"/>
      <c r="L676" s="257"/>
      <c r="M676" s="257"/>
      <c r="N676" s="257"/>
      <c r="O676" s="257"/>
      <c r="P676" s="257"/>
      <c r="Q676" s="257"/>
      <c r="R676" s="257"/>
      <c r="S676" s="257"/>
      <c r="T676" s="257"/>
      <c r="U676" s="257"/>
      <c r="V676" s="257"/>
      <c r="W676" s="257"/>
      <c r="X676" s="257"/>
      <c r="Y676" s="257"/>
      <c r="Z676" s="257"/>
    </row>
    <row r="677" ht="14.25" customHeight="1">
      <c r="A677" s="257"/>
      <c r="B677" s="257"/>
      <c r="C677" s="257"/>
      <c r="D677" s="257"/>
      <c r="E677" s="257"/>
      <c r="F677" s="257"/>
      <c r="G677" s="257"/>
      <c r="H677" s="257"/>
      <c r="I677" s="257"/>
      <c r="J677" s="257"/>
      <c r="K677" s="257"/>
      <c r="L677" s="257"/>
      <c r="M677" s="257"/>
      <c r="N677" s="257"/>
      <c r="O677" s="257"/>
      <c r="P677" s="257"/>
      <c r="Q677" s="257"/>
      <c r="R677" s="257"/>
      <c r="S677" s="257"/>
      <c r="T677" s="257"/>
      <c r="U677" s="257"/>
      <c r="V677" s="257"/>
      <c r="W677" s="257"/>
      <c r="X677" s="257"/>
      <c r="Y677" s="257"/>
      <c r="Z677" s="257"/>
    </row>
    <row r="678" ht="14.25" customHeight="1">
      <c r="A678" s="257"/>
      <c r="B678" s="257"/>
      <c r="C678" s="257"/>
      <c r="D678" s="257"/>
      <c r="E678" s="257"/>
      <c r="F678" s="257"/>
      <c r="G678" s="257"/>
      <c r="H678" s="257"/>
      <c r="I678" s="257"/>
      <c r="J678" s="257"/>
      <c r="K678" s="257"/>
      <c r="L678" s="257"/>
      <c r="M678" s="257"/>
      <c r="N678" s="257"/>
      <c r="O678" s="257"/>
      <c r="P678" s="257"/>
      <c r="Q678" s="257"/>
      <c r="R678" s="257"/>
      <c r="S678" s="257"/>
      <c r="T678" s="257"/>
      <c r="U678" s="257"/>
      <c r="V678" s="257"/>
      <c r="W678" s="257"/>
      <c r="X678" s="257"/>
      <c r="Y678" s="257"/>
      <c r="Z678" s="257"/>
    </row>
    <row r="679" ht="14.25" customHeight="1">
      <c r="A679" s="257"/>
      <c r="B679" s="257"/>
      <c r="C679" s="257"/>
      <c r="D679" s="257"/>
      <c r="E679" s="257"/>
      <c r="F679" s="257"/>
      <c r="G679" s="257"/>
      <c r="H679" s="257"/>
      <c r="I679" s="257"/>
      <c r="J679" s="257"/>
      <c r="K679" s="257"/>
      <c r="L679" s="257"/>
      <c r="M679" s="257"/>
      <c r="N679" s="257"/>
      <c r="O679" s="257"/>
      <c r="P679" s="257"/>
      <c r="Q679" s="257"/>
      <c r="R679" s="257"/>
      <c r="S679" s="257"/>
      <c r="T679" s="257"/>
      <c r="U679" s="257"/>
      <c r="V679" s="257"/>
      <c r="W679" s="257"/>
      <c r="X679" s="257"/>
      <c r="Y679" s="257"/>
      <c r="Z679" s="257"/>
    </row>
    <row r="680" ht="14.25" customHeight="1">
      <c r="A680" s="257"/>
      <c r="B680" s="257"/>
      <c r="C680" s="257"/>
      <c r="D680" s="257"/>
      <c r="E680" s="257"/>
      <c r="F680" s="257"/>
      <c r="G680" s="257"/>
      <c r="H680" s="257"/>
      <c r="I680" s="257"/>
      <c r="J680" s="257"/>
      <c r="K680" s="257"/>
      <c r="L680" s="257"/>
      <c r="M680" s="257"/>
      <c r="N680" s="257"/>
      <c r="O680" s="257"/>
      <c r="P680" s="257"/>
      <c r="Q680" s="257"/>
      <c r="R680" s="257"/>
      <c r="S680" s="257"/>
      <c r="T680" s="257"/>
      <c r="U680" s="257"/>
      <c r="V680" s="257"/>
      <c r="W680" s="257"/>
      <c r="X680" s="257"/>
      <c r="Y680" s="257"/>
      <c r="Z680" s="257"/>
    </row>
    <row r="681" ht="14.25" customHeight="1">
      <c r="A681" s="257"/>
      <c r="B681" s="257"/>
      <c r="C681" s="257"/>
      <c r="D681" s="257"/>
      <c r="E681" s="257"/>
      <c r="F681" s="257"/>
      <c r="G681" s="257"/>
      <c r="H681" s="257"/>
      <c r="I681" s="257"/>
      <c r="J681" s="257"/>
      <c r="K681" s="257"/>
      <c r="L681" s="257"/>
      <c r="M681" s="257"/>
      <c r="N681" s="257"/>
      <c r="O681" s="257"/>
      <c r="P681" s="257"/>
      <c r="Q681" s="257"/>
      <c r="R681" s="257"/>
      <c r="S681" s="257"/>
      <c r="T681" s="257"/>
      <c r="U681" s="257"/>
      <c r="V681" s="257"/>
      <c r="W681" s="257"/>
      <c r="X681" s="257"/>
      <c r="Y681" s="257"/>
      <c r="Z681" s="257"/>
    </row>
    <row r="682" ht="14.25" customHeight="1">
      <c r="A682" s="257"/>
      <c r="B682" s="257"/>
      <c r="C682" s="257"/>
      <c r="D682" s="257"/>
      <c r="E682" s="257"/>
      <c r="F682" s="257"/>
      <c r="G682" s="257"/>
      <c r="H682" s="257"/>
      <c r="I682" s="257"/>
      <c r="J682" s="257"/>
      <c r="K682" s="257"/>
      <c r="L682" s="257"/>
      <c r="M682" s="257"/>
      <c r="N682" s="257"/>
      <c r="O682" s="257"/>
      <c r="P682" s="257"/>
      <c r="Q682" s="257"/>
      <c r="R682" s="257"/>
      <c r="S682" s="257"/>
      <c r="T682" s="257"/>
      <c r="U682" s="257"/>
      <c r="V682" s="257"/>
      <c r="W682" s="257"/>
      <c r="X682" s="257"/>
      <c r="Y682" s="257"/>
      <c r="Z682" s="257"/>
    </row>
    <row r="683" ht="14.25" customHeight="1">
      <c r="A683" s="257"/>
      <c r="B683" s="257"/>
      <c r="C683" s="257"/>
      <c r="D683" s="257"/>
      <c r="E683" s="257"/>
      <c r="F683" s="257"/>
      <c r="G683" s="257"/>
      <c r="H683" s="257"/>
      <c r="I683" s="257"/>
      <c r="J683" s="257"/>
      <c r="K683" s="257"/>
      <c r="L683" s="257"/>
      <c r="M683" s="257"/>
      <c r="N683" s="257"/>
      <c r="O683" s="257"/>
      <c r="P683" s="257"/>
      <c r="Q683" s="257"/>
      <c r="R683" s="257"/>
      <c r="S683" s="257"/>
      <c r="T683" s="257"/>
      <c r="U683" s="257"/>
      <c r="V683" s="257"/>
      <c r="W683" s="257"/>
      <c r="X683" s="257"/>
      <c r="Y683" s="257"/>
      <c r="Z683" s="257"/>
    </row>
    <row r="684" ht="14.25" customHeight="1">
      <c r="A684" s="257"/>
      <c r="B684" s="257"/>
      <c r="C684" s="257"/>
      <c r="D684" s="257"/>
      <c r="E684" s="257"/>
      <c r="F684" s="257"/>
      <c r="G684" s="257"/>
      <c r="H684" s="257"/>
      <c r="I684" s="257"/>
      <c r="J684" s="257"/>
      <c r="K684" s="257"/>
      <c r="L684" s="257"/>
      <c r="M684" s="257"/>
      <c r="N684" s="257"/>
      <c r="O684" s="257"/>
      <c r="P684" s="257"/>
      <c r="Q684" s="257"/>
      <c r="R684" s="257"/>
      <c r="S684" s="257"/>
      <c r="T684" s="257"/>
      <c r="U684" s="257"/>
      <c r="V684" s="257"/>
      <c r="W684" s="257"/>
      <c r="X684" s="257"/>
      <c r="Y684" s="257"/>
      <c r="Z684" s="257"/>
    </row>
    <row r="685" ht="14.25" customHeight="1">
      <c r="A685" s="257"/>
      <c r="B685" s="257"/>
      <c r="C685" s="257"/>
      <c r="D685" s="257"/>
      <c r="E685" s="257"/>
      <c r="F685" s="257"/>
      <c r="G685" s="257"/>
      <c r="H685" s="257"/>
      <c r="I685" s="257"/>
      <c r="J685" s="257"/>
      <c r="K685" s="257"/>
      <c r="L685" s="257"/>
      <c r="M685" s="257"/>
      <c r="N685" s="257"/>
      <c r="O685" s="257"/>
      <c r="P685" s="257"/>
      <c r="Q685" s="257"/>
      <c r="R685" s="257"/>
      <c r="S685" s="257"/>
      <c r="T685" s="257"/>
      <c r="U685" s="257"/>
      <c r="V685" s="257"/>
      <c r="W685" s="257"/>
      <c r="X685" s="257"/>
      <c r="Y685" s="257"/>
      <c r="Z685" s="257"/>
    </row>
    <row r="686" ht="14.25" customHeight="1">
      <c r="A686" s="257"/>
      <c r="B686" s="257"/>
      <c r="C686" s="257"/>
      <c r="D686" s="257"/>
      <c r="E686" s="257"/>
      <c r="F686" s="257"/>
      <c r="G686" s="257"/>
      <c r="H686" s="257"/>
      <c r="I686" s="257"/>
      <c r="J686" s="257"/>
      <c r="K686" s="257"/>
      <c r="L686" s="257"/>
      <c r="M686" s="257"/>
      <c r="N686" s="257"/>
      <c r="O686" s="257"/>
      <c r="P686" s="257"/>
      <c r="Q686" s="257"/>
      <c r="R686" s="257"/>
      <c r="S686" s="257"/>
      <c r="T686" s="257"/>
      <c r="U686" s="257"/>
      <c r="V686" s="257"/>
      <c r="W686" s="257"/>
      <c r="X686" s="257"/>
      <c r="Y686" s="257"/>
      <c r="Z686" s="257"/>
    </row>
    <row r="687" ht="14.25" customHeight="1">
      <c r="A687" s="257"/>
      <c r="B687" s="257"/>
      <c r="C687" s="257"/>
      <c r="D687" s="257"/>
      <c r="E687" s="257"/>
      <c r="F687" s="257"/>
      <c r="G687" s="257"/>
      <c r="H687" s="257"/>
      <c r="I687" s="257"/>
      <c r="J687" s="257"/>
      <c r="K687" s="257"/>
      <c r="L687" s="257"/>
      <c r="M687" s="257"/>
      <c r="N687" s="257"/>
      <c r="O687" s="257"/>
      <c r="P687" s="257"/>
      <c r="Q687" s="257"/>
      <c r="R687" s="257"/>
      <c r="S687" s="257"/>
      <c r="T687" s="257"/>
      <c r="U687" s="257"/>
      <c r="V687" s="257"/>
      <c r="W687" s="257"/>
      <c r="X687" s="257"/>
      <c r="Y687" s="257"/>
      <c r="Z687" s="257"/>
    </row>
    <row r="688" ht="14.25" customHeight="1">
      <c r="A688" s="257"/>
      <c r="B688" s="257"/>
      <c r="C688" s="257"/>
      <c r="D688" s="257"/>
      <c r="E688" s="257"/>
      <c r="F688" s="257"/>
      <c r="G688" s="257"/>
      <c r="H688" s="257"/>
      <c r="I688" s="257"/>
      <c r="J688" s="257"/>
      <c r="K688" s="257"/>
      <c r="L688" s="257"/>
      <c r="M688" s="257"/>
      <c r="N688" s="257"/>
      <c r="O688" s="257"/>
      <c r="P688" s="257"/>
      <c r="Q688" s="257"/>
      <c r="R688" s="257"/>
      <c r="S688" s="257"/>
      <c r="T688" s="257"/>
      <c r="U688" s="257"/>
      <c r="V688" s="257"/>
      <c r="W688" s="257"/>
      <c r="X688" s="257"/>
      <c r="Y688" s="257"/>
      <c r="Z688" s="257"/>
    </row>
    <row r="689" ht="14.25" customHeight="1">
      <c r="A689" s="257"/>
      <c r="B689" s="257"/>
      <c r="C689" s="257"/>
      <c r="D689" s="257"/>
      <c r="E689" s="257"/>
      <c r="F689" s="257"/>
      <c r="G689" s="257"/>
      <c r="H689" s="257"/>
      <c r="I689" s="257"/>
      <c r="J689" s="257"/>
      <c r="K689" s="257"/>
      <c r="L689" s="257"/>
      <c r="M689" s="257"/>
      <c r="N689" s="257"/>
      <c r="O689" s="257"/>
      <c r="P689" s="257"/>
      <c r="Q689" s="257"/>
      <c r="R689" s="257"/>
      <c r="S689" s="257"/>
      <c r="T689" s="257"/>
      <c r="U689" s="257"/>
      <c r="V689" s="257"/>
      <c r="W689" s="257"/>
      <c r="X689" s="257"/>
      <c r="Y689" s="257"/>
      <c r="Z689" s="257"/>
    </row>
    <row r="690" ht="14.25" customHeight="1">
      <c r="A690" s="257"/>
      <c r="B690" s="257"/>
      <c r="C690" s="257"/>
      <c r="D690" s="257"/>
      <c r="E690" s="257"/>
      <c r="F690" s="257"/>
      <c r="G690" s="257"/>
      <c r="H690" s="257"/>
      <c r="I690" s="257"/>
      <c r="J690" s="257"/>
      <c r="K690" s="257"/>
      <c r="L690" s="257"/>
      <c r="M690" s="257"/>
      <c r="N690" s="257"/>
      <c r="O690" s="257"/>
      <c r="P690" s="257"/>
      <c r="Q690" s="257"/>
      <c r="R690" s="257"/>
      <c r="S690" s="257"/>
      <c r="T690" s="257"/>
      <c r="U690" s="257"/>
      <c r="V690" s="257"/>
      <c r="W690" s="257"/>
      <c r="X690" s="257"/>
      <c r="Y690" s="257"/>
      <c r="Z690" s="257"/>
    </row>
    <row r="691" ht="14.25" customHeight="1">
      <c r="A691" s="257"/>
      <c r="B691" s="257"/>
      <c r="C691" s="257"/>
      <c r="D691" s="257"/>
      <c r="E691" s="257"/>
      <c r="F691" s="257"/>
      <c r="G691" s="257"/>
      <c r="H691" s="257"/>
      <c r="I691" s="257"/>
      <c r="J691" s="257"/>
      <c r="K691" s="257"/>
      <c r="L691" s="257"/>
      <c r="M691" s="257"/>
      <c r="N691" s="257"/>
      <c r="O691" s="257"/>
      <c r="P691" s="257"/>
      <c r="Q691" s="257"/>
      <c r="R691" s="257"/>
      <c r="S691" s="257"/>
      <c r="T691" s="257"/>
      <c r="U691" s="257"/>
      <c r="V691" s="257"/>
      <c r="W691" s="257"/>
      <c r="X691" s="257"/>
      <c r="Y691" s="257"/>
      <c r="Z691" s="257"/>
    </row>
    <row r="692" ht="14.25" customHeight="1">
      <c r="A692" s="257"/>
      <c r="B692" s="257"/>
      <c r="C692" s="257"/>
      <c r="D692" s="257"/>
      <c r="E692" s="257"/>
      <c r="F692" s="257"/>
      <c r="G692" s="257"/>
      <c r="H692" s="257"/>
      <c r="I692" s="257"/>
      <c r="J692" s="257"/>
      <c r="K692" s="257"/>
      <c r="L692" s="257"/>
      <c r="M692" s="257"/>
      <c r="N692" s="257"/>
      <c r="O692" s="257"/>
      <c r="P692" s="257"/>
      <c r="Q692" s="257"/>
      <c r="R692" s="257"/>
      <c r="S692" s="257"/>
      <c r="T692" s="257"/>
      <c r="U692" s="257"/>
      <c r="V692" s="257"/>
      <c r="W692" s="257"/>
      <c r="X692" s="257"/>
      <c r="Y692" s="257"/>
      <c r="Z692" s="257"/>
    </row>
    <row r="693" ht="14.25" customHeight="1">
      <c r="A693" s="257"/>
      <c r="B693" s="257"/>
      <c r="C693" s="257"/>
      <c r="D693" s="257"/>
      <c r="E693" s="257"/>
      <c r="F693" s="257"/>
      <c r="G693" s="257"/>
      <c r="H693" s="257"/>
      <c r="I693" s="257"/>
      <c r="J693" s="257"/>
      <c r="K693" s="257"/>
      <c r="L693" s="257"/>
      <c r="M693" s="257"/>
      <c r="N693" s="257"/>
      <c r="O693" s="257"/>
      <c r="P693" s="257"/>
      <c r="Q693" s="257"/>
      <c r="R693" s="257"/>
      <c r="S693" s="257"/>
      <c r="T693" s="257"/>
      <c r="U693" s="257"/>
      <c r="V693" s="257"/>
      <c r="W693" s="257"/>
      <c r="X693" s="257"/>
      <c r="Y693" s="257"/>
      <c r="Z693" s="257"/>
    </row>
    <row r="694" ht="14.25" customHeight="1">
      <c r="A694" s="257"/>
      <c r="B694" s="257"/>
      <c r="C694" s="257"/>
      <c r="D694" s="257"/>
      <c r="E694" s="257"/>
      <c r="F694" s="257"/>
      <c r="G694" s="257"/>
      <c r="H694" s="257"/>
      <c r="I694" s="257"/>
      <c r="J694" s="257"/>
      <c r="K694" s="257"/>
      <c r="L694" s="257"/>
      <c r="M694" s="257"/>
      <c r="N694" s="257"/>
      <c r="O694" s="257"/>
      <c r="P694" s="257"/>
      <c r="Q694" s="257"/>
      <c r="R694" s="257"/>
      <c r="S694" s="257"/>
      <c r="T694" s="257"/>
      <c r="U694" s="257"/>
      <c r="V694" s="257"/>
      <c r="W694" s="257"/>
      <c r="X694" s="257"/>
      <c r="Y694" s="257"/>
      <c r="Z694" s="257"/>
    </row>
    <row r="695" ht="14.25" customHeight="1">
      <c r="A695" s="257"/>
      <c r="B695" s="257"/>
      <c r="C695" s="257"/>
      <c r="D695" s="257"/>
      <c r="E695" s="257"/>
      <c r="F695" s="257"/>
      <c r="G695" s="257"/>
      <c r="H695" s="257"/>
      <c r="I695" s="257"/>
      <c r="J695" s="257"/>
      <c r="K695" s="257"/>
      <c r="L695" s="257"/>
      <c r="M695" s="257"/>
      <c r="N695" s="257"/>
      <c r="O695" s="257"/>
      <c r="P695" s="257"/>
      <c r="Q695" s="257"/>
      <c r="R695" s="257"/>
      <c r="S695" s="257"/>
      <c r="T695" s="257"/>
      <c r="U695" s="257"/>
      <c r="V695" s="257"/>
      <c r="W695" s="257"/>
      <c r="X695" s="257"/>
      <c r="Y695" s="257"/>
      <c r="Z695" s="257"/>
    </row>
    <row r="696" ht="14.25" customHeight="1">
      <c r="A696" s="257"/>
      <c r="B696" s="257"/>
      <c r="C696" s="257"/>
      <c r="D696" s="257"/>
      <c r="E696" s="257"/>
      <c r="F696" s="257"/>
      <c r="G696" s="257"/>
      <c r="H696" s="257"/>
      <c r="I696" s="257"/>
      <c r="J696" s="257"/>
      <c r="K696" s="257"/>
      <c r="L696" s="257"/>
      <c r="M696" s="257"/>
      <c r="N696" s="257"/>
      <c r="O696" s="257"/>
      <c r="P696" s="257"/>
      <c r="Q696" s="257"/>
      <c r="R696" s="257"/>
      <c r="S696" s="257"/>
      <c r="T696" s="257"/>
      <c r="U696" s="257"/>
      <c r="V696" s="257"/>
      <c r="W696" s="257"/>
      <c r="X696" s="257"/>
      <c r="Y696" s="257"/>
      <c r="Z696" s="257"/>
    </row>
    <row r="697" ht="14.25" customHeight="1">
      <c r="A697" s="257"/>
      <c r="B697" s="257"/>
      <c r="C697" s="257"/>
      <c r="D697" s="257"/>
      <c r="E697" s="257"/>
      <c r="F697" s="257"/>
      <c r="G697" s="257"/>
      <c r="H697" s="257"/>
      <c r="I697" s="257"/>
      <c r="J697" s="257"/>
      <c r="K697" s="257"/>
      <c r="L697" s="257"/>
      <c r="M697" s="257"/>
      <c r="N697" s="257"/>
      <c r="O697" s="257"/>
      <c r="P697" s="257"/>
      <c r="Q697" s="257"/>
      <c r="R697" s="257"/>
      <c r="S697" s="257"/>
      <c r="T697" s="257"/>
      <c r="U697" s="257"/>
      <c r="V697" s="257"/>
      <c r="W697" s="257"/>
      <c r="X697" s="257"/>
      <c r="Y697" s="257"/>
      <c r="Z697" s="257"/>
    </row>
    <row r="698" ht="14.25" customHeight="1">
      <c r="A698" s="257"/>
      <c r="B698" s="257"/>
      <c r="C698" s="257"/>
      <c r="D698" s="257"/>
      <c r="E698" s="257"/>
      <c r="F698" s="257"/>
      <c r="G698" s="257"/>
      <c r="H698" s="257"/>
      <c r="I698" s="257"/>
      <c r="J698" s="257"/>
      <c r="K698" s="257"/>
      <c r="L698" s="257"/>
      <c r="M698" s="257"/>
      <c r="N698" s="257"/>
      <c r="O698" s="257"/>
      <c r="P698" s="257"/>
      <c r="Q698" s="257"/>
      <c r="R698" s="257"/>
      <c r="S698" s="257"/>
      <c r="T698" s="257"/>
      <c r="U698" s="257"/>
      <c r="V698" s="257"/>
      <c r="W698" s="257"/>
      <c r="X698" s="257"/>
      <c r="Y698" s="257"/>
      <c r="Z698" s="257"/>
    </row>
    <row r="699" ht="14.25" customHeight="1">
      <c r="A699" s="257"/>
      <c r="B699" s="257"/>
      <c r="C699" s="257"/>
      <c r="D699" s="257"/>
      <c r="E699" s="257"/>
      <c r="F699" s="257"/>
      <c r="G699" s="257"/>
      <c r="H699" s="257"/>
      <c r="I699" s="257"/>
      <c r="J699" s="257"/>
      <c r="K699" s="257"/>
      <c r="L699" s="257"/>
      <c r="M699" s="257"/>
      <c r="N699" s="257"/>
      <c r="O699" s="257"/>
      <c r="P699" s="257"/>
      <c r="Q699" s="257"/>
      <c r="R699" s="257"/>
      <c r="S699" s="257"/>
      <c r="T699" s="257"/>
      <c r="U699" s="257"/>
      <c r="V699" s="257"/>
      <c r="W699" s="257"/>
      <c r="X699" s="257"/>
      <c r="Y699" s="257"/>
      <c r="Z699" s="257"/>
    </row>
    <row r="700" ht="14.25" customHeight="1">
      <c r="A700" s="257"/>
      <c r="B700" s="257"/>
      <c r="C700" s="257"/>
      <c r="D700" s="257"/>
      <c r="E700" s="257"/>
      <c r="F700" s="257"/>
      <c r="G700" s="257"/>
      <c r="H700" s="257"/>
      <c r="I700" s="257"/>
      <c r="J700" s="257"/>
      <c r="K700" s="257"/>
      <c r="L700" s="257"/>
      <c r="M700" s="257"/>
      <c r="N700" s="257"/>
      <c r="O700" s="257"/>
      <c r="P700" s="257"/>
      <c r="Q700" s="257"/>
      <c r="R700" s="257"/>
      <c r="S700" s="257"/>
      <c r="T700" s="257"/>
      <c r="U700" s="257"/>
      <c r="V700" s="257"/>
      <c r="W700" s="257"/>
      <c r="X700" s="257"/>
      <c r="Y700" s="257"/>
      <c r="Z700" s="257"/>
    </row>
    <row r="701" ht="14.25" customHeight="1">
      <c r="A701" s="257"/>
      <c r="B701" s="257"/>
      <c r="C701" s="257"/>
      <c r="D701" s="257"/>
      <c r="E701" s="257"/>
      <c r="F701" s="257"/>
      <c r="G701" s="257"/>
      <c r="H701" s="257"/>
      <c r="I701" s="257"/>
      <c r="J701" s="257"/>
      <c r="K701" s="257"/>
      <c r="L701" s="257"/>
      <c r="M701" s="257"/>
      <c r="N701" s="257"/>
      <c r="O701" s="257"/>
      <c r="P701" s="257"/>
      <c r="Q701" s="257"/>
      <c r="R701" s="257"/>
      <c r="S701" s="257"/>
      <c r="T701" s="257"/>
      <c r="U701" s="257"/>
      <c r="V701" s="257"/>
      <c r="W701" s="257"/>
      <c r="X701" s="257"/>
      <c r="Y701" s="257"/>
      <c r="Z701" s="257"/>
    </row>
    <row r="702" ht="14.25" customHeight="1">
      <c r="A702" s="257"/>
      <c r="B702" s="257"/>
      <c r="C702" s="257"/>
      <c r="D702" s="257"/>
      <c r="E702" s="257"/>
      <c r="F702" s="257"/>
      <c r="G702" s="257"/>
      <c r="H702" s="257"/>
      <c r="I702" s="257"/>
      <c r="J702" s="257"/>
      <c r="K702" s="257"/>
      <c r="L702" s="257"/>
      <c r="M702" s="257"/>
      <c r="N702" s="257"/>
      <c r="O702" s="257"/>
      <c r="P702" s="257"/>
      <c r="Q702" s="257"/>
      <c r="R702" s="257"/>
      <c r="S702" s="257"/>
      <c r="T702" s="257"/>
      <c r="U702" s="257"/>
      <c r="V702" s="257"/>
      <c r="W702" s="257"/>
      <c r="X702" s="257"/>
      <c r="Y702" s="257"/>
      <c r="Z702" s="257"/>
    </row>
    <row r="703" ht="14.25" customHeight="1">
      <c r="A703" s="257"/>
      <c r="B703" s="257"/>
      <c r="C703" s="257"/>
      <c r="D703" s="257"/>
      <c r="E703" s="257"/>
      <c r="F703" s="257"/>
      <c r="G703" s="257"/>
      <c r="H703" s="257"/>
      <c r="I703" s="257"/>
      <c r="J703" s="257"/>
      <c r="K703" s="257"/>
      <c r="L703" s="257"/>
      <c r="M703" s="257"/>
      <c r="N703" s="257"/>
      <c r="O703" s="257"/>
      <c r="P703" s="257"/>
      <c r="Q703" s="257"/>
      <c r="R703" s="257"/>
      <c r="S703" s="257"/>
      <c r="T703" s="257"/>
      <c r="U703" s="257"/>
      <c r="V703" s="257"/>
      <c r="W703" s="257"/>
      <c r="X703" s="257"/>
      <c r="Y703" s="257"/>
      <c r="Z703" s="257"/>
    </row>
    <row r="704" ht="14.25" customHeight="1">
      <c r="A704" s="257"/>
      <c r="B704" s="257"/>
      <c r="C704" s="257"/>
      <c r="D704" s="257"/>
      <c r="E704" s="257"/>
      <c r="F704" s="257"/>
      <c r="G704" s="257"/>
      <c r="H704" s="257"/>
      <c r="I704" s="257"/>
      <c r="J704" s="257"/>
      <c r="K704" s="257"/>
      <c r="L704" s="257"/>
      <c r="M704" s="257"/>
      <c r="N704" s="257"/>
      <c r="O704" s="257"/>
      <c r="P704" s="257"/>
      <c r="Q704" s="257"/>
      <c r="R704" s="257"/>
      <c r="S704" s="257"/>
      <c r="T704" s="257"/>
      <c r="U704" s="257"/>
      <c r="V704" s="257"/>
      <c r="W704" s="257"/>
      <c r="X704" s="257"/>
      <c r="Y704" s="257"/>
      <c r="Z704" s="257"/>
    </row>
    <row r="705" ht="14.25" customHeight="1">
      <c r="A705" s="257"/>
      <c r="B705" s="257"/>
      <c r="C705" s="257"/>
      <c r="D705" s="257"/>
      <c r="E705" s="257"/>
      <c r="F705" s="257"/>
      <c r="G705" s="257"/>
      <c r="H705" s="257"/>
      <c r="I705" s="257"/>
      <c r="J705" s="257"/>
      <c r="K705" s="257"/>
      <c r="L705" s="257"/>
      <c r="M705" s="257"/>
      <c r="N705" s="257"/>
      <c r="O705" s="257"/>
      <c r="P705" s="257"/>
      <c r="Q705" s="257"/>
      <c r="R705" s="257"/>
      <c r="S705" s="257"/>
      <c r="T705" s="257"/>
      <c r="U705" s="257"/>
      <c r="V705" s="257"/>
      <c r="W705" s="257"/>
      <c r="X705" s="257"/>
      <c r="Y705" s="257"/>
      <c r="Z705" s="257"/>
    </row>
    <row r="706" ht="14.25" customHeight="1">
      <c r="A706" s="257"/>
      <c r="B706" s="257"/>
      <c r="C706" s="257"/>
      <c r="D706" s="257"/>
      <c r="E706" s="257"/>
      <c r="F706" s="257"/>
      <c r="G706" s="257"/>
      <c r="H706" s="257"/>
      <c r="I706" s="257"/>
      <c r="J706" s="257"/>
      <c r="K706" s="257"/>
      <c r="L706" s="257"/>
      <c r="M706" s="257"/>
      <c r="N706" s="257"/>
      <c r="O706" s="257"/>
      <c r="P706" s="257"/>
      <c r="Q706" s="257"/>
      <c r="R706" s="257"/>
      <c r="S706" s="257"/>
      <c r="T706" s="257"/>
      <c r="U706" s="257"/>
      <c r="V706" s="257"/>
      <c r="W706" s="257"/>
      <c r="X706" s="257"/>
      <c r="Y706" s="257"/>
      <c r="Z706" s="257"/>
    </row>
    <row r="707" ht="14.25" customHeight="1">
      <c r="A707" s="257"/>
      <c r="B707" s="257"/>
      <c r="C707" s="257"/>
      <c r="D707" s="257"/>
      <c r="E707" s="257"/>
      <c r="F707" s="257"/>
      <c r="G707" s="257"/>
      <c r="H707" s="257"/>
      <c r="I707" s="257"/>
      <c r="J707" s="257"/>
      <c r="K707" s="257"/>
      <c r="L707" s="257"/>
      <c r="M707" s="257"/>
      <c r="N707" s="257"/>
      <c r="O707" s="257"/>
      <c r="P707" s="257"/>
      <c r="Q707" s="257"/>
      <c r="R707" s="257"/>
      <c r="S707" s="257"/>
      <c r="T707" s="257"/>
      <c r="U707" s="257"/>
      <c r="V707" s="257"/>
      <c r="W707" s="257"/>
      <c r="X707" s="257"/>
      <c r="Y707" s="257"/>
      <c r="Z707" s="257"/>
    </row>
    <row r="708" ht="14.25" customHeight="1">
      <c r="A708" s="257"/>
      <c r="B708" s="257"/>
      <c r="C708" s="257"/>
      <c r="D708" s="257"/>
      <c r="E708" s="257"/>
      <c r="F708" s="257"/>
      <c r="G708" s="257"/>
      <c r="H708" s="257"/>
      <c r="I708" s="257"/>
      <c r="J708" s="257"/>
      <c r="K708" s="257"/>
      <c r="L708" s="257"/>
      <c r="M708" s="257"/>
      <c r="N708" s="257"/>
      <c r="O708" s="257"/>
      <c r="P708" s="257"/>
      <c r="Q708" s="257"/>
      <c r="R708" s="257"/>
      <c r="S708" s="257"/>
      <c r="T708" s="257"/>
      <c r="U708" s="257"/>
      <c r="V708" s="257"/>
      <c r="W708" s="257"/>
      <c r="X708" s="257"/>
      <c r="Y708" s="257"/>
      <c r="Z708" s="257"/>
    </row>
    <row r="709" ht="14.25" customHeight="1">
      <c r="A709" s="257"/>
      <c r="B709" s="257"/>
      <c r="C709" s="257"/>
      <c r="D709" s="257"/>
      <c r="E709" s="257"/>
      <c r="F709" s="257"/>
      <c r="G709" s="257"/>
      <c r="H709" s="257"/>
      <c r="I709" s="257"/>
      <c r="J709" s="257"/>
      <c r="K709" s="257"/>
      <c r="L709" s="257"/>
      <c r="M709" s="257"/>
      <c r="N709" s="257"/>
      <c r="O709" s="257"/>
      <c r="P709" s="257"/>
      <c r="Q709" s="257"/>
      <c r="R709" s="257"/>
      <c r="S709" s="257"/>
      <c r="T709" s="257"/>
      <c r="U709" s="257"/>
      <c r="V709" s="257"/>
      <c r="W709" s="257"/>
      <c r="X709" s="257"/>
      <c r="Y709" s="257"/>
      <c r="Z709" s="257"/>
    </row>
    <row r="710" ht="14.25" customHeight="1">
      <c r="A710" s="257"/>
      <c r="B710" s="257"/>
      <c r="C710" s="257"/>
      <c r="D710" s="257"/>
      <c r="E710" s="257"/>
      <c r="F710" s="257"/>
      <c r="G710" s="257"/>
      <c r="H710" s="257"/>
      <c r="I710" s="257"/>
      <c r="J710" s="257"/>
      <c r="K710" s="257"/>
      <c r="L710" s="257"/>
      <c r="M710" s="257"/>
      <c r="N710" s="257"/>
      <c r="O710" s="257"/>
      <c r="P710" s="257"/>
      <c r="Q710" s="257"/>
      <c r="R710" s="257"/>
      <c r="S710" s="257"/>
      <c r="T710" s="257"/>
      <c r="U710" s="257"/>
      <c r="V710" s="257"/>
      <c r="W710" s="257"/>
      <c r="X710" s="257"/>
      <c r="Y710" s="257"/>
      <c r="Z710" s="257"/>
    </row>
    <row r="711" ht="14.25" customHeight="1">
      <c r="A711" s="257"/>
      <c r="B711" s="257"/>
      <c r="C711" s="257"/>
      <c r="D711" s="257"/>
      <c r="E711" s="257"/>
      <c r="F711" s="257"/>
      <c r="G711" s="257"/>
      <c r="H711" s="257"/>
      <c r="I711" s="257"/>
      <c r="J711" s="257"/>
      <c r="K711" s="257"/>
      <c r="L711" s="257"/>
      <c r="M711" s="257"/>
      <c r="N711" s="257"/>
      <c r="O711" s="257"/>
      <c r="P711" s="257"/>
      <c r="Q711" s="257"/>
      <c r="R711" s="257"/>
      <c r="S711" s="257"/>
      <c r="T711" s="257"/>
      <c r="U711" s="257"/>
      <c r="V711" s="257"/>
      <c r="W711" s="257"/>
      <c r="X711" s="257"/>
      <c r="Y711" s="257"/>
      <c r="Z711" s="257"/>
    </row>
    <row r="712" ht="14.25" customHeight="1">
      <c r="A712" s="257"/>
      <c r="B712" s="257"/>
      <c r="C712" s="257"/>
      <c r="D712" s="257"/>
      <c r="E712" s="257"/>
      <c r="F712" s="257"/>
      <c r="G712" s="257"/>
      <c r="H712" s="257"/>
      <c r="I712" s="257"/>
      <c r="J712" s="257"/>
      <c r="K712" s="257"/>
      <c r="L712" s="257"/>
      <c r="M712" s="257"/>
      <c r="N712" s="257"/>
      <c r="O712" s="257"/>
      <c r="P712" s="257"/>
      <c r="Q712" s="257"/>
      <c r="R712" s="257"/>
      <c r="S712" s="257"/>
      <c r="T712" s="257"/>
      <c r="U712" s="257"/>
      <c r="V712" s="257"/>
      <c r="W712" s="257"/>
      <c r="X712" s="257"/>
      <c r="Y712" s="257"/>
      <c r="Z712" s="257"/>
    </row>
    <row r="713" ht="14.25" customHeight="1">
      <c r="A713" s="257"/>
      <c r="B713" s="257"/>
      <c r="C713" s="257"/>
      <c r="D713" s="257"/>
      <c r="E713" s="257"/>
      <c r="F713" s="257"/>
      <c r="G713" s="257"/>
      <c r="H713" s="257"/>
      <c r="I713" s="257"/>
      <c r="J713" s="257"/>
      <c r="K713" s="257"/>
      <c r="L713" s="257"/>
      <c r="M713" s="257"/>
      <c r="N713" s="257"/>
      <c r="O713" s="257"/>
      <c r="P713" s="257"/>
      <c r="Q713" s="257"/>
      <c r="R713" s="257"/>
      <c r="S713" s="257"/>
      <c r="T713" s="257"/>
      <c r="U713" s="257"/>
      <c r="V713" s="257"/>
      <c r="W713" s="257"/>
      <c r="X713" s="257"/>
      <c r="Y713" s="257"/>
      <c r="Z713" s="257"/>
    </row>
    <row r="714" ht="14.25" customHeight="1">
      <c r="A714" s="257"/>
      <c r="B714" s="257"/>
      <c r="C714" s="257"/>
      <c r="D714" s="257"/>
      <c r="E714" s="257"/>
      <c r="F714" s="257"/>
      <c r="G714" s="257"/>
      <c r="H714" s="257"/>
      <c r="I714" s="257"/>
      <c r="J714" s="257"/>
      <c r="K714" s="257"/>
      <c r="L714" s="257"/>
      <c r="M714" s="257"/>
      <c r="N714" s="257"/>
      <c r="O714" s="257"/>
      <c r="P714" s="257"/>
      <c r="Q714" s="257"/>
      <c r="R714" s="257"/>
      <c r="S714" s="257"/>
      <c r="T714" s="257"/>
      <c r="U714" s="257"/>
      <c r="V714" s="257"/>
      <c r="W714" s="257"/>
      <c r="X714" s="257"/>
      <c r="Y714" s="257"/>
      <c r="Z714" s="257"/>
    </row>
    <row r="715" ht="14.25" customHeight="1">
      <c r="A715" s="257"/>
      <c r="B715" s="257"/>
      <c r="C715" s="257"/>
      <c r="D715" s="257"/>
      <c r="E715" s="257"/>
      <c r="F715" s="257"/>
      <c r="G715" s="257"/>
      <c r="H715" s="257"/>
      <c r="I715" s="257"/>
      <c r="J715" s="257"/>
      <c r="K715" s="257"/>
      <c r="L715" s="257"/>
      <c r="M715" s="257"/>
      <c r="N715" s="257"/>
      <c r="O715" s="257"/>
      <c r="P715" s="257"/>
      <c r="Q715" s="257"/>
      <c r="R715" s="257"/>
      <c r="S715" s="257"/>
      <c r="T715" s="257"/>
      <c r="U715" s="257"/>
      <c r="V715" s="257"/>
      <c r="W715" s="257"/>
      <c r="X715" s="257"/>
      <c r="Y715" s="257"/>
      <c r="Z715" s="257"/>
    </row>
    <row r="716" ht="14.25" customHeight="1">
      <c r="A716" s="257"/>
      <c r="B716" s="257"/>
      <c r="C716" s="257"/>
      <c r="D716" s="257"/>
      <c r="E716" s="257"/>
      <c r="F716" s="257"/>
      <c r="G716" s="257"/>
      <c r="H716" s="257"/>
      <c r="I716" s="257"/>
      <c r="J716" s="257"/>
      <c r="K716" s="257"/>
      <c r="L716" s="257"/>
      <c r="M716" s="257"/>
      <c r="N716" s="257"/>
      <c r="O716" s="257"/>
      <c r="P716" s="257"/>
      <c r="Q716" s="257"/>
      <c r="R716" s="257"/>
      <c r="S716" s="257"/>
      <c r="T716" s="257"/>
      <c r="U716" s="257"/>
      <c r="V716" s="257"/>
      <c r="W716" s="257"/>
      <c r="X716" s="257"/>
      <c r="Y716" s="257"/>
      <c r="Z716" s="257"/>
    </row>
    <row r="717" ht="14.25" customHeight="1">
      <c r="A717" s="257"/>
      <c r="B717" s="257"/>
      <c r="C717" s="257"/>
      <c r="D717" s="257"/>
      <c r="E717" s="257"/>
      <c r="F717" s="257"/>
      <c r="G717" s="257"/>
      <c r="H717" s="257"/>
      <c r="I717" s="257"/>
      <c r="J717" s="257"/>
      <c r="K717" s="257"/>
      <c r="L717" s="257"/>
      <c r="M717" s="257"/>
      <c r="N717" s="257"/>
      <c r="O717" s="257"/>
      <c r="P717" s="257"/>
      <c r="Q717" s="257"/>
      <c r="R717" s="257"/>
      <c r="S717" s="257"/>
      <c r="T717" s="257"/>
      <c r="U717" s="257"/>
      <c r="V717" s="257"/>
      <c r="W717" s="257"/>
      <c r="X717" s="257"/>
      <c r="Y717" s="257"/>
      <c r="Z717" s="257"/>
    </row>
    <row r="718" ht="14.25" customHeight="1">
      <c r="A718" s="257"/>
      <c r="B718" s="257"/>
      <c r="C718" s="257"/>
      <c r="D718" s="257"/>
      <c r="E718" s="257"/>
      <c r="F718" s="257"/>
      <c r="G718" s="257"/>
      <c r="H718" s="257"/>
      <c r="I718" s="257"/>
      <c r="J718" s="257"/>
      <c r="K718" s="257"/>
      <c r="L718" s="257"/>
      <c r="M718" s="257"/>
      <c r="N718" s="257"/>
      <c r="O718" s="257"/>
      <c r="P718" s="257"/>
      <c r="Q718" s="257"/>
      <c r="R718" s="257"/>
      <c r="S718" s="257"/>
      <c r="T718" s="257"/>
      <c r="U718" s="257"/>
      <c r="V718" s="257"/>
      <c r="W718" s="257"/>
      <c r="X718" s="257"/>
      <c r="Y718" s="257"/>
      <c r="Z718" s="257"/>
    </row>
    <row r="719" ht="14.25" customHeight="1">
      <c r="A719" s="257"/>
      <c r="B719" s="257"/>
      <c r="C719" s="257"/>
      <c r="D719" s="257"/>
      <c r="E719" s="257"/>
      <c r="F719" s="257"/>
      <c r="G719" s="257"/>
      <c r="H719" s="257"/>
      <c r="I719" s="257"/>
      <c r="J719" s="257"/>
      <c r="K719" s="257"/>
      <c r="L719" s="257"/>
      <c r="M719" s="257"/>
      <c r="N719" s="257"/>
      <c r="O719" s="257"/>
      <c r="P719" s="257"/>
      <c r="Q719" s="257"/>
      <c r="R719" s="257"/>
      <c r="S719" s="257"/>
      <c r="T719" s="257"/>
      <c r="U719" s="257"/>
      <c r="V719" s="257"/>
      <c r="W719" s="257"/>
      <c r="X719" s="257"/>
      <c r="Y719" s="257"/>
      <c r="Z719" s="257"/>
    </row>
    <row r="720" ht="14.25" customHeight="1">
      <c r="A720" s="257"/>
      <c r="B720" s="257"/>
      <c r="C720" s="257"/>
      <c r="D720" s="257"/>
      <c r="E720" s="257"/>
      <c r="F720" s="257"/>
      <c r="G720" s="257"/>
      <c r="H720" s="257"/>
      <c r="I720" s="257"/>
      <c r="J720" s="257"/>
      <c r="K720" s="257"/>
      <c r="L720" s="257"/>
      <c r="M720" s="257"/>
      <c r="N720" s="257"/>
      <c r="O720" s="257"/>
      <c r="P720" s="257"/>
      <c r="Q720" s="257"/>
      <c r="R720" s="257"/>
      <c r="S720" s="257"/>
      <c r="T720" s="257"/>
      <c r="U720" s="257"/>
      <c r="V720" s="257"/>
      <c r="W720" s="257"/>
      <c r="X720" s="257"/>
      <c r="Y720" s="257"/>
      <c r="Z720" s="257"/>
    </row>
    <row r="721" ht="14.25" customHeight="1">
      <c r="A721" s="257"/>
      <c r="B721" s="257"/>
      <c r="C721" s="257"/>
      <c r="D721" s="257"/>
      <c r="E721" s="257"/>
      <c r="F721" s="257"/>
      <c r="G721" s="257"/>
      <c r="H721" s="257"/>
      <c r="I721" s="257"/>
      <c r="J721" s="257"/>
      <c r="K721" s="257"/>
      <c r="L721" s="257"/>
      <c r="M721" s="257"/>
      <c r="N721" s="257"/>
      <c r="O721" s="257"/>
      <c r="P721" s="257"/>
      <c r="Q721" s="257"/>
      <c r="R721" s="257"/>
      <c r="S721" s="257"/>
      <c r="T721" s="257"/>
      <c r="U721" s="257"/>
      <c r="V721" s="257"/>
      <c r="W721" s="257"/>
      <c r="X721" s="257"/>
      <c r="Y721" s="257"/>
      <c r="Z721" s="257"/>
    </row>
    <row r="722" ht="14.25" customHeight="1">
      <c r="A722" s="257"/>
      <c r="B722" s="257"/>
      <c r="C722" s="257"/>
      <c r="D722" s="257"/>
      <c r="E722" s="257"/>
      <c r="F722" s="257"/>
      <c r="G722" s="257"/>
      <c r="H722" s="257"/>
      <c r="I722" s="257"/>
      <c r="J722" s="257"/>
      <c r="K722" s="257"/>
      <c r="L722" s="257"/>
      <c r="M722" s="257"/>
      <c r="N722" s="257"/>
      <c r="O722" s="257"/>
      <c r="P722" s="257"/>
      <c r="Q722" s="257"/>
      <c r="R722" s="257"/>
      <c r="S722" s="257"/>
      <c r="T722" s="257"/>
      <c r="U722" s="257"/>
      <c r="V722" s="257"/>
      <c r="W722" s="257"/>
      <c r="X722" s="257"/>
      <c r="Y722" s="257"/>
      <c r="Z722" s="257"/>
    </row>
    <row r="723" ht="14.25" customHeight="1">
      <c r="A723" s="257"/>
      <c r="B723" s="257"/>
      <c r="C723" s="257"/>
      <c r="D723" s="257"/>
      <c r="E723" s="257"/>
      <c r="F723" s="257"/>
      <c r="G723" s="257"/>
      <c r="H723" s="257"/>
      <c r="I723" s="257"/>
      <c r="J723" s="257"/>
      <c r="K723" s="257"/>
      <c r="L723" s="257"/>
      <c r="M723" s="257"/>
      <c r="N723" s="257"/>
      <c r="O723" s="257"/>
      <c r="P723" s="257"/>
      <c r="Q723" s="257"/>
      <c r="R723" s="257"/>
      <c r="S723" s="257"/>
      <c r="T723" s="257"/>
      <c r="U723" s="257"/>
      <c r="V723" s="257"/>
      <c r="W723" s="257"/>
      <c r="X723" s="257"/>
      <c r="Y723" s="257"/>
      <c r="Z723" s="257"/>
    </row>
    <row r="724" ht="14.25" customHeight="1">
      <c r="A724" s="257"/>
      <c r="B724" s="257"/>
      <c r="C724" s="257"/>
      <c r="D724" s="257"/>
      <c r="E724" s="257"/>
      <c r="F724" s="257"/>
      <c r="G724" s="257"/>
      <c r="H724" s="257"/>
      <c r="I724" s="257"/>
      <c r="J724" s="257"/>
      <c r="K724" s="257"/>
      <c r="L724" s="257"/>
      <c r="M724" s="257"/>
      <c r="N724" s="257"/>
      <c r="O724" s="257"/>
      <c r="P724" s="257"/>
      <c r="Q724" s="257"/>
      <c r="R724" s="257"/>
      <c r="S724" s="257"/>
      <c r="T724" s="257"/>
      <c r="U724" s="257"/>
      <c r="V724" s="257"/>
      <c r="W724" s="257"/>
      <c r="X724" s="257"/>
      <c r="Y724" s="257"/>
      <c r="Z724" s="257"/>
    </row>
    <row r="725" ht="14.25" customHeight="1">
      <c r="A725" s="257"/>
      <c r="B725" s="257"/>
      <c r="C725" s="257"/>
      <c r="D725" s="257"/>
      <c r="E725" s="257"/>
      <c r="F725" s="257"/>
      <c r="G725" s="257"/>
      <c r="H725" s="257"/>
      <c r="I725" s="257"/>
      <c r="J725" s="257"/>
      <c r="K725" s="257"/>
      <c r="L725" s="257"/>
      <c r="M725" s="257"/>
      <c r="N725" s="257"/>
      <c r="O725" s="257"/>
      <c r="P725" s="257"/>
      <c r="Q725" s="257"/>
      <c r="R725" s="257"/>
      <c r="S725" s="257"/>
      <c r="T725" s="257"/>
      <c r="U725" s="257"/>
      <c r="V725" s="257"/>
      <c r="W725" s="257"/>
      <c r="X725" s="257"/>
      <c r="Y725" s="257"/>
      <c r="Z725" s="257"/>
    </row>
    <row r="726" ht="14.25" customHeight="1">
      <c r="A726" s="257"/>
      <c r="B726" s="257"/>
      <c r="C726" s="257"/>
      <c r="D726" s="257"/>
      <c r="E726" s="257"/>
      <c r="F726" s="257"/>
      <c r="G726" s="257"/>
      <c r="H726" s="257"/>
      <c r="I726" s="257"/>
      <c r="J726" s="257"/>
      <c r="K726" s="257"/>
      <c r="L726" s="257"/>
      <c r="M726" s="257"/>
      <c r="N726" s="257"/>
      <c r="O726" s="257"/>
      <c r="P726" s="257"/>
      <c r="Q726" s="257"/>
      <c r="R726" s="257"/>
      <c r="S726" s="257"/>
      <c r="T726" s="257"/>
      <c r="U726" s="257"/>
      <c r="V726" s="257"/>
      <c r="W726" s="257"/>
      <c r="X726" s="257"/>
      <c r="Y726" s="257"/>
      <c r="Z726" s="257"/>
    </row>
    <row r="727" ht="14.25" customHeight="1">
      <c r="A727" s="257"/>
      <c r="B727" s="257"/>
      <c r="C727" s="257"/>
      <c r="D727" s="257"/>
      <c r="E727" s="257"/>
      <c r="F727" s="257"/>
      <c r="G727" s="257"/>
      <c r="H727" s="257"/>
      <c r="I727" s="257"/>
      <c r="J727" s="257"/>
      <c r="K727" s="257"/>
      <c r="L727" s="257"/>
      <c r="M727" s="257"/>
      <c r="N727" s="257"/>
      <c r="O727" s="257"/>
      <c r="P727" s="257"/>
      <c r="Q727" s="257"/>
      <c r="R727" s="257"/>
      <c r="S727" s="257"/>
      <c r="T727" s="257"/>
      <c r="U727" s="257"/>
      <c r="V727" s="257"/>
      <c r="W727" s="257"/>
      <c r="X727" s="257"/>
      <c r="Y727" s="257"/>
      <c r="Z727" s="257"/>
    </row>
    <row r="728" ht="14.25" customHeight="1">
      <c r="A728" s="257"/>
      <c r="B728" s="257"/>
      <c r="C728" s="257"/>
      <c r="D728" s="257"/>
      <c r="E728" s="257"/>
      <c r="F728" s="257"/>
      <c r="G728" s="257"/>
      <c r="H728" s="257"/>
      <c r="I728" s="257"/>
      <c r="J728" s="257"/>
      <c r="K728" s="257"/>
      <c r="L728" s="257"/>
      <c r="M728" s="257"/>
      <c r="N728" s="257"/>
      <c r="O728" s="257"/>
      <c r="P728" s="257"/>
      <c r="Q728" s="257"/>
      <c r="R728" s="257"/>
      <c r="S728" s="257"/>
      <c r="T728" s="257"/>
      <c r="U728" s="257"/>
      <c r="V728" s="257"/>
      <c r="W728" s="257"/>
      <c r="X728" s="257"/>
      <c r="Y728" s="257"/>
      <c r="Z728" s="257"/>
    </row>
    <row r="729" ht="14.25" customHeight="1">
      <c r="A729" s="257"/>
      <c r="B729" s="257"/>
      <c r="C729" s="257"/>
      <c r="D729" s="257"/>
      <c r="E729" s="257"/>
      <c r="F729" s="257"/>
      <c r="G729" s="257"/>
      <c r="H729" s="257"/>
      <c r="I729" s="257"/>
      <c r="J729" s="257"/>
      <c r="K729" s="257"/>
      <c r="L729" s="257"/>
      <c r="M729" s="257"/>
      <c r="N729" s="257"/>
      <c r="O729" s="257"/>
      <c r="P729" s="257"/>
      <c r="Q729" s="257"/>
      <c r="R729" s="257"/>
      <c r="S729" s="257"/>
      <c r="T729" s="257"/>
      <c r="U729" s="257"/>
      <c r="V729" s="257"/>
      <c r="W729" s="257"/>
      <c r="X729" s="257"/>
      <c r="Y729" s="257"/>
      <c r="Z729" s="257"/>
    </row>
    <row r="730" ht="14.25" customHeight="1">
      <c r="A730" s="257"/>
      <c r="B730" s="257"/>
      <c r="C730" s="257"/>
      <c r="D730" s="257"/>
      <c r="E730" s="257"/>
      <c r="F730" s="257"/>
      <c r="G730" s="257"/>
      <c r="H730" s="257"/>
      <c r="I730" s="257"/>
      <c r="J730" s="257"/>
      <c r="K730" s="257"/>
      <c r="L730" s="257"/>
      <c r="M730" s="257"/>
      <c r="N730" s="257"/>
      <c r="O730" s="257"/>
      <c r="P730" s="257"/>
      <c r="Q730" s="257"/>
      <c r="R730" s="257"/>
      <c r="S730" s="257"/>
      <c r="T730" s="257"/>
      <c r="U730" s="257"/>
      <c r="V730" s="257"/>
      <c r="W730" s="257"/>
      <c r="X730" s="257"/>
      <c r="Y730" s="257"/>
      <c r="Z730" s="257"/>
    </row>
    <row r="731" ht="14.25" customHeight="1">
      <c r="A731" s="257"/>
      <c r="B731" s="257"/>
      <c r="C731" s="257"/>
      <c r="D731" s="257"/>
      <c r="E731" s="257"/>
      <c r="F731" s="257"/>
      <c r="G731" s="257"/>
      <c r="H731" s="257"/>
      <c r="I731" s="257"/>
      <c r="J731" s="257"/>
      <c r="K731" s="257"/>
      <c r="L731" s="257"/>
      <c r="M731" s="257"/>
      <c r="N731" s="257"/>
      <c r="O731" s="257"/>
      <c r="P731" s="257"/>
      <c r="Q731" s="257"/>
      <c r="R731" s="257"/>
      <c r="S731" s="257"/>
      <c r="T731" s="257"/>
      <c r="U731" s="257"/>
      <c r="V731" s="257"/>
      <c r="W731" s="257"/>
      <c r="X731" s="257"/>
      <c r="Y731" s="257"/>
      <c r="Z731" s="257"/>
    </row>
    <row r="732" ht="14.25" customHeight="1">
      <c r="A732" s="257"/>
      <c r="B732" s="257"/>
      <c r="C732" s="257"/>
      <c r="D732" s="257"/>
      <c r="E732" s="257"/>
      <c r="F732" s="257"/>
      <c r="G732" s="257"/>
      <c r="H732" s="257"/>
      <c r="I732" s="257"/>
      <c r="J732" s="257"/>
      <c r="K732" s="257"/>
      <c r="L732" s="257"/>
      <c r="M732" s="257"/>
      <c r="N732" s="257"/>
      <c r="O732" s="257"/>
      <c r="P732" s="257"/>
      <c r="Q732" s="257"/>
      <c r="R732" s="257"/>
      <c r="S732" s="257"/>
      <c r="T732" s="257"/>
      <c r="U732" s="257"/>
      <c r="V732" s="257"/>
      <c r="W732" s="257"/>
      <c r="X732" s="257"/>
      <c r="Y732" s="257"/>
      <c r="Z732" s="257"/>
    </row>
    <row r="733" ht="14.25" customHeight="1">
      <c r="A733" s="257"/>
      <c r="B733" s="257"/>
      <c r="C733" s="257"/>
      <c r="D733" s="257"/>
      <c r="E733" s="257"/>
      <c r="F733" s="257"/>
      <c r="G733" s="257"/>
      <c r="H733" s="257"/>
      <c r="I733" s="257"/>
      <c r="J733" s="257"/>
      <c r="K733" s="257"/>
      <c r="L733" s="257"/>
      <c r="M733" s="257"/>
      <c r="N733" s="257"/>
      <c r="O733" s="257"/>
      <c r="P733" s="257"/>
      <c r="Q733" s="257"/>
      <c r="R733" s="257"/>
      <c r="S733" s="257"/>
      <c r="T733" s="257"/>
      <c r="U733" s="257"/>
      <c r="V733" s="257"/>
      <c r="W733" s="257"/>
      <c r="X733" s="257"/>
      <c r="Y733" s="257"/>
      <c r="Z733" s="257"/>
    </row>
    <row r="734" ht="14.25" customHeight="1">
      <c r="A734" s="257"/>
      <c r="B734" s="257"/>
      <c r="C734" s="257"/>
      <c r="D734" s="257"/>
      <c r="E734" s="257"/>
      <c r="F734" s="257"/>
      <c r="G734" s="257"/>
      <c r="H734" s="257"/>
      <c r="I734" s="257"/>
      <c r="J734" s="257"/>
      <c r="K734" s="257"/>
      <c r="L734" s="257"/>
      <c r="M734" s="257"/>
      <c r="N734" s="257"/>
      <c r="O734" s="257"/>
      <c r="P734" s="257"/>
      <c r="Q734" s="257"/>
      <c r="R734" s="257"/>
      <c r="S734" s="257"/>
      <c r="T734" s="257"/>
      <c r="U734" s="257"/>
      <c r="V734" s="257"/>
      <c r="W734" s="257"/>
      <c r="X734" s="257"/>
      <c r="Y734" s="257"/>
      <c r="Z734" s="257"/>
    </row>
    <row r="735" ht="14.25" customHeight="1">
      <c r="A735" s="257"/>
      <c r="B735" s="257"/>
      <c r="C735" s="257"/>
      <c r="D735" s="257"/>
      <c r="E735" s="257"/>
      <c r="F735" s="257"/>
      <c r="G735" s="257"/>
      <c r="H735" s="257"/>
      <c r="I735" s="257"/>
      <c r="J735" s="257"/>
      <c r="K735" s="257"/>
      <c r="L735" s="257"/>
      <c r="M735" s="257"/>
      <c r="N735" s="257"/>
      <c r="O735" s="257"/>
      <c r="P735" s="257"/>
      <c r="Q735" s="257"/>
      <c r="R735" s="257"/>
      <c r="S735" s="257"/>
      <c r="T735" s="257"/>
      <c r="U735" s="257"/>
      <c r="V735" s="257"/>
      <c r="W735" s="257"/>
      <c r="X735" s="257"/>
      <c r="Y735" s="257"/>
      <c r="Z735" s="257"/>
    </row>
    <row r="736" ht="14.25" customHeight="1">
      <c r="A736" s="257"/>
      <c r="B736" s="257"/>
      <c r="C736" s="257"/>
      <c r="D736" s="257"/>
      <c r="E736" s="257"/>
      <c r="F736" s="257"/>
      <c r="G736" s="257"/>
      <c r="H736" s="257"/>
      <c r="I736" s="257"/>
      <c r="J736" s="257"/>
      <c r="K736" s="257"/>
      <c r="L736" s="257"/>
      <c r="M736" s="257"/>
      <c r="N736" s="257"/>
      <c r="O736" s="257"/>
      <c r="P736" s="257"/>
      <c r="Q736" s="257"/>
      <c r="R736" s="257"/>
      <c r="S736" s="257"/>
      <c r="T736" s="257"/>
      <c r="U736" s="257"/>
      <c r="V736" s="257"/>
      <c r="W736" s="257"/>
      <c r="X736" s="257"/>
      <c r="Y736" s="257"/>
      <c r="Z736" s="257"/>
    </row>
    <row r="737" ht="14.25" customHeight="1">
      <c r="A737" s="257"/>
      <c r="B737" s="257"/>
      <c r="C737" s="257"/>
      <c r="D737" s="257"/>
      <c r="E737" s="257"/>
      <c r="F737" s="257"/>
      <c r="G737" s="257"/>
      <c r="H737" s="257"/>
      <c r="I737" s="257"/>
      <c r="J737" s="257"/>
      <c r="K737" s="257"/>
      <c r="L737" s="257"/>
      <c r="M737" s="257"/>
      <c r="N737" s="257"/>
      <c r="O737" s="257"/>
      <c r="P737" s="257"/>
      <c r="Q737" s="257"/>
      <c r="R737" s="257"/>
      <c r="S737" s="257"/>
      <c r="T737" s="257"/>
      <c r="U737" s="257"/>
      <c r="V737" s="257"/>
      <c r="W737" s="257"/>
      <c r="X737" s="257"/>
      <c r="Y737" s="257"/>
      <c r="Z737" s="257"/>
    </row>
    <row r="738" ht="14.25" customHeight="1">
      <c r="A738" s="257"/>
      <c r="B738" s="257"/>
      <c r="C738" s="257"/>
      <c r="D738" s="257"/>
      <c r="E738" s="257"/>
      <c r="F738" s="257"/>
      <c r="G738" s="257"/>
      <c r="H738" s="257"/>
      <c r="I738" s="257"/>
      <c r="J738" s="257"/>
      <c r="K738" s="257"/>
      <c r="L738" s="257"/>
      <c r="M738" s="257"/>
      <c r="N738" s="257"/>
      <c r="O738" s="257"/>
      <c r="P738" s="257"/>
      <c r="Q738" s="257"/>
      <c r="R738" s="257"/>
      <c r="S738" s="257"/>
      <c r="T738" s="257"/>
      <c r="U738" s="257"/>
      <c r="V738" s="257"/>
      <c r="W738" s="257"/>
      <c r="X738" s="257"/>
      <c r="Y738" s="257"/>
      <c r="Z738" s="257"/>
    </row>
    <row r="739" ht="14.25" customHeight="1">
      <c r="A739" s="257"/>
      <c r="B739" s="257"/>
      <c r="C739" s="257"/>
      <c r="D739" s="257"/>
      <c r="E739" s="257"/>
      <c r="F739" s="257"/>
      <c r="G739" s="257"/>
      <c r="H739" s="257"/>
      <c r="I739" s="257"/>
      <c r="J739" s="257"/>
      <c r="K739" s="257"/>
      <c r="L739" s="257"/>
      <c r="M739" s="257"/>
      <c r="N739" s="257"/>
      <c r="O739" s="257"/>
      <c r="P739" s="257"/>
      <c r="Q739" s="257"/>
      <c r="R739" s="257"/>
      <c r="S739" s="257"/>
      <c r="T739" s="257"/>
      <c r="U739" s="257"/>
      <c r="V739" s="257"/>
      <c r="W739" s="257"/>
      <c r="X739" s="257"/>
      <c r="Y739" s="257"/>
      <c r="Z739" s="257"/>
    </row>
    <row r="740" ht="14.25" customHeight="1">
      <c r="A740" s="257"/>
      <c r="B740" s="257"/>
      <c r="C740" s="257"/>
      <c r="D740" s="257"/>
      <c r="E740" s="257"/>
      <c r="F740" s="257"/>
      <c r="G740" s="257"/>
      <c r="H740" s="257"/>
      <c r="I740" s="257"/>
      <c r="J740" s="257"/>
      <c r="K740" s="257"/>
      <c r="L740" s="257"/>
      <c r="M740" s="257"/>
      <c r="N740" s="257"/>
      <c r="O740" s="257"/>
      <c r="P740" s="257"/>
      <c r="Q740" s="257"/>
      <c r="R740" s="257"/>
      <c r="S740" s="257"/>
      <c r="T740" s="257"/>
      <c r="U740" s="257"/>
      <c r="V740" s="257"/>
      <c r="W740" s="257"/>
      <c r="X740" s="257"/>
      <c r="Y740" s="257"/>
      <c r="Z740" s="257"/>
    </row>
    <row r="741" ht="14.25" customHeight="1">
      <c r="A741" s="257"/>
      <c r="B741" s="257"/>
      <c r="C741" s="257"/>
      <c r="D741" s="257"/>
      <c r="E741" s="257"/>
      <c r="F741" s="257"/>
      <c r="G741" s="257"/>
      <c r="H741" s="257"/>
      <c r="I741" s="257"/>
      <c r="J741" s="257"/>
      <c r="K741" s="257"/>
      <c r="L741" s="257"/>
      <c r="M741" s="257"/>
      <c r="N741" s="257"/>
      <c r="O741" s="257"/>
      <c r="P741" s="257"/>
      <c r="Q741" s="257"/>
      <c r="R741" s="257"/>
      <c r="S741" s="257"/>
      <c r="T741" s="257"/>
      <c r="U741" s="257"/>
      <c r="V741" s="257"/>
      <c r="W741" s="257"/>
      <c r="X741" s="257"/>
      <c r="Y741" s="257"/>
      <c r="Z741" s="257"/>
    </row>
    <row r="742" ht="14.25" customHeight="1">
      <c r="A742" s="257"/>
      <c r="B742" s="257"/>
      <c r="C742" s="257"/>
      <c r="D742" s="257"/>
      <c r="E742" s="257"/>
      <c r="F742" s="257"/>
      <c r="G742" s="257"/>
      <c r="H742" s="257"/>
      <c r="I742" s="257"/>
      <c r="J742" s="257"/>
      <c r="K742" s="257"/>
      <c r="L742" s="257"/>
      <c r="M742" s="257"/>
      <c r="N742" s="257"/>
      <c r="O742" s="257"/>
      <c r="P742" s="257"/>
      <c r="Q742" s="257"/>
      <c r="R742" s="257"/>
      <c r="S742" s="257"/>
      <c r="T742" s="257"/>
      <c r="U742" s="257"/>
      <c r="V742" s="257"/>
      <c r="W742" s="257"/>
      <c r="X742" s="257"/>
      <c r="Y742" s="257"/>
      <c r="Z742" s="257"/>
    </row>
    <row r="743" ht="14.25" customHeight="1">
      <c r="A743" s="257"/>
      <c r="B743" s="257"/>
      <c r="C743" s="257"/>
      <c r="D743" s="257"/>
      <c r="E743" s="257"/>
      <c r="F743" s="257"/>
      <c r="G743" s="257"/>
      <c r="H743" s="257"/>
      <c r="I743" s="257"/>
      <c r="J743" s="257"/>
      <c r="K743" s="257"/>
      <c r="L743" s="257"/>
      <c r="M743" s="257"/>
      <c r="N743" s="257"/>
      <c r="O743" s="257"/>
      <c r="P743" s="257"/>
      <c r="Q743" s="257"/>
      <c r="R743" s="257"/>
      <c r="S743" s="257"/>
      <c r="T743" s="257"/>
      <c r="U743" s="257"/>
      <c r="V743" s="257"/>
      <c r="W743" s="257"/>
      <c r="X743" s="257"/>
      <c r="Y743" s="257"/>
      <c r="Z743" s="257"/>
    </row>
    <row r="744" ht="14.25" customHeight="1">
      <c r="A744" s="257"/>
      <c r="B744" s="257"/>
      <c r="C744" s="257"/>
      <c r="D744" s="257"/>
      <c r="E744" s="257"/>
      <c r="F744" s="257"/>
      <c r="G744" s="257"/>
      <c r="H744" s="257"/>
      <c r="I744" s="257"/>
      <c r="J744" s="257"/>
      <c r="K744" s="257"/>
      <c r="L744" s="257"/>
      <c r="M744" s="257"/>
      <c r="N744" s="257"/>
      <c r="O744" s="257"/>
      <c r="P744" s="257"/>
      <c r="Q744" s="257"/>
      <c r="R744" s="257"/>
      <c r="S744" s="257"/>
      <c r="T744" s="257"/>
      <c r="U744" s="257"/>
      <c r="V744" s="257"/>
      <c r="W744" s="257"/>
      <c r="X744" s="257"/>
      <c r="Y744" s="257"/>
      <c r="Z744" s="257"/>
    </row>
    <row r="745" ht="14.25" customHeight="1">
      <c r="A745" s="257"/>
      <c r="B745" s="257"/>
      <c r="C745" s="257"/>
      <c r="D745" s="257"/>
      <c r="E745" s="257"/>
      <c r="F745" s="257"/>
      <c r="G745" s="257"/>
      <c r="H745" s="257"/>
      <c r="I745" s="257"/>
      <c r="J745" s="257"/>
      <c r="K745" s="257"/>
      <c r="L745" s="257"/>
      <c r="M745" s="257"/>
      <c r="N745" s="257"/>
      <c r="O745" s="257"/>
      <c r="P745" s="257"/>
      <c r="Q745" s="257"/>
      <c r="R745" s="257"/>
      <c r="S745" s="257"/>
      <c r="T745" s="257"/>
      <c r="U745" s="257"/>
      <c r="V745" s="257"/>
      <c r="W745" s="257"/>
      <c r="X745" s="257"/>
      <c r="Y745" s="257"/>
      <c r="Z745" s="257"/>
    </row>
    <row r="746" ht="14.25" customHeight="1">
      <c r="A746" s="257"/>
      <c r="B746" s="257"/>
      <c r="C746" s="257"/>
      <c r="D746" s="257"/>
      <c r="E746" s="257"/>
      <c r="F746" s="257"/>
      <c r="G746" s="257"/>
      <c r="H746" s="257"/>
      <c r="I746" s="257"/>
      <c r="J746" s="257"/>
      <c r="K746" s="257"/>
      <c r="L746" s="257"/>
      <c r="M746" s="257"/>
      <c r="N746" s="257"/>
      <c r="O746" s="257"/>
      <c r="P746" s="257"/>
      <c r="Q746" s="257"/>
      <c r="R746" s="257"/>
      <c r="S746" s="257"/>
      <c r="T746" s="257"/>
      <c r="U746" s="257"/>
      <c r="V746" s="257"/>
      <c r="W746" s="257"/>
      <c r="X746" s="257"/>
      <c r="Y746" s="257"/>
      <c r="Z746" s="257"/>
    </row>
    <row r="747" ht="14.25" customHeight="1">
      <c r="A747" s="257"/>
      <c r="B747" s="257"/>
      <c r="C747" s="257"/>
      <c r="D747" s="257"/>
      <c r="E747" s="257"/>
      <c r="F747" s="257"/>
      <c r="G747" s="257"/>
      <c r="H747" s="257"/>
      <c r="I747" s="257"/>
      <c r="J747" s="257"/>
      <c r="K747" s="257"/>
      <c r="L747" s="257"/>
      <c r="M747" s="257"/>
      <c r="N747" s="257"/>
      <c r="O747" s="257"/>
      <c r="P747" s="257"/>
      <c r="Q747" s="257"/>
      <c r="R747" s="257"/>
      <c r="S747" s="257"/>
      <c r="T747" s="257"/>
      <c r="U747" s="257"/>
      <c r="V747" s="257"/>
      <c r="W747" s="257"/>
      <c r="X747" s="257"/>
      <c r="Y747" s="257"/>
      <c r="Z747" s="257"/>
    </row>
    <row r="748" ht="14.25" customHeight="1">
      <c r="A748" s="257"/>
      <c r="B748" s="257"/>
      <c r="C748" s="257"/>
      <c r="D748" s="257"/>
      <c r="E748" s="257"/>
      <c r="F748" s="257"/>
      <c r="G748" s="257"/>
      <c r="H748" s="257"/>
      <c r="I748" s="257"/>
      <c r="J748" s="257"/>
      <c r="K748" s="257"/>
      <c r="L748" s="257"/>
      <c r="M748" s="257"/>
      <c r="N748" s="257"/>
      <c r="O748" s="257"/>
      <c r="P748" s="257"/>
      <c r="Q748" s="257"/>
      <c r="R748" s="257"/>
      <c r="S748" s="257"/>
      <c r="T748" s="257"/>
      <c r="U748" s="257"/>
      <c r="V748" s="257"/>
      <c r="W748" s="257"/>
      <c r="X748" s="257"/>
      <c r="Y748" s="257"/>
      <c r="Z748" s="257"/>
    </row>
    <row r="749" ht="14.25" customHeight="1">
      <c r="A749" s="257"/>
      <c r="B749" s="257"/>
      <c r="C749" s="257"/>
      <c r="D749" s="257"/>
      <c r="E749" s="257"/>
      <c r="F749" s="257"/>
      <c r="G749" s="257"/>
      <c r="H749" s="257"/>
      <c r="I749" s="257"/>
      <c r="J749" s="257"/>
      <c r="K749" s="257"/>
      <c r="L749" s="257"/>
      <c r="M749" s="257"/>
      <c r="N749" s="257"/>
      <c r="O749" s="257"/>
      <c r="P749" s="257"/>
      <c r="Q749" s="257"/>
      <c r="R749" s="257"/>
      <c r="S749" s="257"/>
      <c r="T749" s="257"/>
      <c r="U749" s="257"/>
      <c r="V749" s="257"/>
      <c r="W749" s="257"/>
      <c r="X749" s="257"/>
      <c r="Y749" s="257"/>
      <c r="Z749" s="257"/>
    </row>
    <row r="750" ht="14.25" customHeight="1">
      <c r="A750" s="257"/>
      <c r="B750" s="257"/>
      <c r="C750" s="257"/>
      <c r="D750" s="257"/>
      <c r="E750" s="257"/>
      <c r="F750" s="257"/>
      <c r="G750" s="257"/>
      <c r="H750" s="257"/>
      <c r="I750" s="257"/>
      <c r="J750" s="257"/>
      <c r="K750" s="257"/>
      <c r="L750" s="257"/>
      <c r="M750" s="257"/>
      <c r="N750" s="257"/>
      <c r="O750" s="257"/>
      <c r="P750" s="257"/>
      <c r="Q750" s="257"/>
      <c r="R750" s="257"/>
      <c r="S750" s="257"/>
      <c r="T750" s="257"/>
      <c r="U750" s="257"/>
      <c r="V750" s="257"/>
      <c r="W750" s="257"/>
      <c r="X750" s="257"/>
      <c r="Y750" s="257"/>
      <c r="Z750" s="257"/>
    </row>
    <row r="751" ht="14.25" customHeight="1">
      <c r="A751" s="257"/>
      <c r="B751" s="257"/>
      <c r="C751" s="257"/>
      <c r="D751" s="257"/>
      <c r="E751" s="257"/>
      <c r="F751" s="257"/>
      <c r="G751" s="257"/>
      <c r="H751" s="257"/>
      <c r="I751" s="257"/>
      <c r="J751" s="257"/>
      <c r="K751" s="257"/>
      <c r="L751" s="257"/>
      <c r="M751" s="257"/>
      <c r="N751" s="257"/>
      <c r="O751" s="257"/>
      <c r="P751" s="257"/>
      <c r="Q751" s="257"/>
      <c r="R751" s="257"/>
      <c r="S751" s="257"/>
      <c r="T751" s="257"/>
      <c r="U751" s="257"/>
      <c r="V751" s="257"/>
      <c r="W751" s="257"/>
      <c r="X751" s="257"/>
      <c r="Y751" s="257"/>
      <c r="Z751" s="257"/>
    </row>
    <row r="752" ht="14.25" customHeight="1">
      <c r="A752" s="257"/>
      <c r="B752" s="257"/>
      <c r="C752" s="257"/>
      <c r="D752" s="257"/>
      <c r="E752" s="257"/>
      <c r="F752" s="257"/>
      <c r="G752" s="257"/>
      <c r="H752" s="257"/>
      <c r="I752" s="257"/>
      <c r="J752" s="257"/>
      <c r="K752" s="257"/>
      <c r="L752" s="257"/>
      <c r="M752" s="257"/>
      <c r="N752" s="257"/>
      <c r="O752" s="257"/>
      <c r="P752" s="257"/>
      <c r="Q752" s="257"/>
      <c r="R752" s="257"/>
      <c r="S752" s="257"/>
      <c r="T752" s="257"/>
      <c r="U752" s="257"/>
      <c r="V752" s="257"/>
      <c r="W752" s="257"/>
      <c r="X752" s="257"/>
      <c r="Y752" s="257"/>
      <c r="Z752" s="257"/>
    </row>
    <row r="753" ht="14.25" customHeight="1">
      <c r="A753" s="257"/>
      <c r="B753" s="257"/>
      <c r="C753" s="257"/>
      <c r="D753" s="257"/>
      <c r="E753" s="257"/>
      <c r="F753" s="257"/>
      <c r="G753" s="257"/>
      <c r="H753" s="257"/>
      <c r="I753" s="257"/>
      <c r="J753" s="257"/>
      <c r="K753" s="257"/>
      <c r="L753" s="257"/>
      <c r="M753" s="257"/>
      <c r="N753" s="257"/>
      <c r="O753" s="257"/>
      <c r="P753" s="257"/>
      <c r="Q753" s="257"/>
      <c r="R753" s="257"/>
      <c r="S753" s="257"/>
      <c r="T753" s="257"/>
      <c r="U753" s="257"/>
      <c r="V753" s="257"/>
      <c r="W753" s="257"/>
      <c r="X753" s="257"/>
      <c r="Y753" s="257"/>
      <c r="Z753" s="257"/>
    </row>
    <row r="754" ht="14.25" customHeight="1">
      <c r="A754" s="257"/>
      <c r="B754" s="257"/>
      <c r="C754" s="257"/>
      <c r="D754" s="257"/>
      <c r="E754" s="257"/>
      <c r="F754" s="257"/>
      <c r="G754" s="257"/>
      <c r="H754" s="257"/>
      <c r="I754" s="257"/>
      <c r="J754" s="257"/>
      <c r="K754" s="257"/>
      <c r="L754" s="257"/>
      <c r="M754" s="257"/>
      <c r="N754" s="257"/>
      <c r="O754" s="257"/>
      <c r="P754" s="257"/>
      <c r="Q754" s="257"/>
      <c r="R754" s="257"/>
      <c r="S754" s="257"/>
      <c r="T754" s="257"/>
      <c r="U754" s="257"/>
      <c r="V754" s="257"/>
      <c r="W754" s="257"/>
      <c r="X754" s="257"/>
      <c r="Y754" s="257"/>
      <c r="Z754" s="257"/>
    </row>
    <row r="755" ht="14.25" customHeight="1">
      <c r="A755" s="257"/>
      <c r="B755" s="257"/>
      <c r="C755" s="257"/>
      <c r="D755" s="257"/>
      <c r="E755" s="257"/>
      <c r="F755" s="257"/>
      <c r="G755" s="257"/>
      <c r="H755" s="257"/>
      <c r="I755" s="257"/>
      <c r="J755" s="257"/>
      <c r="K755" s="257"/>
      <c r="L755" s="257"/>
      <c r="M755" s="257"/>
      <c r="N755" s="257"/>
      <c r="O755" s="257"/>
      <c r="P755" s="257"/>
      <c r="Q755" s="257"/>
      <c r="R755" s="257"/>
      <c r="S755" s="257"/>
      <c r="T755" s="257"/>
      <c r="U755" s="257"/>
      <c r="V755" s="257"/>
      <c r="W755" s="257"/>
      <c r="X755" s="257"/>
      <c r="Y755" s="257"/>
      <c r="Z755" s="257"/>
    </row>
    <row r="756" ht="14.25" customHeight="1">
      <c r="A756" s="257"/>
      <c r="B756" s="257"/>
      <c r="C756" s="257"/>
      <c r="D756" s="257"/>
      <c r="E756" s="257"/>
      <c r="F756" s="257"/>
      <c r="G756" s="257"/>
      <c r="H756" s="257"/>
      <c r="I756" s="257"/>
      <c r="J756" s="257"/>
      <c r="K756" s="257"/>
      <c r="L756" s="257"/>
      <c r="M756" s="257"/>
      <c r="N756" s="257"/>
      <c r="O756" s="257"/>
      <c r="P756" s="257"/>
      <c r="Q756" s="257"/>
      <c r="R756" s="257"/>
      <c r="S756" s="257"/>
      <c r="T756" s="257"/>
      <c r="U756" s="257"/>
      <c r="V756" s="257"/>
      <c r="W756" s="257"/>
      <c r="X756" s="257"/>
      <c r="Y756" s="257"/>
      <c r="Z756" s="257"/>
    </row>
    <row r="757" ht="14.25" customHeight="1">
      <c r="A757" s="257"/>
      <c r="B757" s="257"/>
      <c r="C757" s="257"/>
      <c r="D757" s="257"/>
      <c r="E757" s="257"/>
      <c r="F757" s="257"/>
      <c r="G757" s="257"/>
      <c r="H757" s="257"/>
      <c r="I757" s="257"/>
      <c r="J757" s="257"/>
      <c r="K757" s="257"/>
      <c r="L757" s="257"/>
      <c r="M757" s="257"/>
      <c r="N757" s="257"/>
      <c r="O757" s="257"/>
      <c r="P757" s="257"/>
      <c r="Q757" s="257"/>
      <c r="R757" s="257"/>
      <c r="S757" s="257"/>
      <c r="T757" s="257"/>
      <c r="U757" s="257"/>
      <c r="V757" s="257"/>
      <c r="W757" s="257"/>
      <c r="X757" s="257"/>
      <c r="Y757" s="257"/>
      <c r="Z757" s="257"/>
    </row>
    <row r="758" ht="14.25" customHeight="1">
      <c r="A758" s="257"/>
      <c r="B758" s="257"/>
      <c r="C758" s="257"/>
      <c r="D758" s="257"/>
      <c r="E758" s="257"/>
      <c r="F758" s="257"/>
      <c r="G758" s="257"/>
      <c r="H758" s="257"/>
      <c r="I758" s="257"/>
      <c r="J758" s="257"/>
      <c r="K758" s="257"/>
      <c r="L758" s="257"/>
      <c r="M758" s="257"/>
      <c r="N758" s="257"/>
      <c r="O758" s="257"/>
      <c r="P758" s="257"/>
      <c r="Q758" s="257"/>
      <c r="R758" s="257"/>
      <c r="S758" s="257"/>
      <c r="T758" s="257"/>
      <c r="U758" s="257"/>
      <c r="V758" s="257"/>
      <c r="W758" s="257"/>
      <c r="X758" s="257"/>
      <c r="Y758" s="257"/>
      <c r="Z758" s="257"/>
    </row>
    <row r="759" ht="14.25" customHeight="1">
      <c r="A759" s="257"/>
      <c r="B759" s="257"/>
      <c r="C759" s="257"/>
      <c r="D759" s="257"/>
      <c r="E759" s="257"/>
      <c r="F759" s="257"/>
      <c r="G759" s="257"/>
      <c r="H759" s="257"/>
      <c r="I759" s="257"/>
      <c r="J759" s="257"/>
      <c r="K759" s="257"/>
      <c r="L759" s="257"/>
      <c r="M759" s="257"/>
      <c r="N759" s="257"/>
      <c r="O759" s="257"/>
      <c r="P759" s="257"/>
      <c r="Q759" s="257"/>
      <c r="R759" s="257"/>
      <c r="S759" s="257"/>
      <c r="T759" s="257"/>
      <c r="U759" s="257"/>
      <c r="V759" s="257"/>
      <c r="W759" s="257"/>
      <c r="X759" s="257"/>
      <c r="Y759" s="257"/>
      <c r="Z759" s="257"/>
    </row>
    <row r="760" ht="14.25" customHeight="1">
      <c r="A760" s="257"/>
      <c r="B760" s="257"/>
      <c r="C760" s="257"/>
      <c r="D760" s="257"/>
      <c r="E760" s="257"/>
      <c r="F760" s="257"/>
      <c r="G760" s="257"/>
      <c r="H760" s="257"/>
      <c r="I760" s="257"/>
      <c r="J760" s="257"/>
      <c r="K760" s="257"/>
      <c r="L760" s="257"/>
      <c r="M760" s="257"/>
      <c r="N760" s="257"/>
      <c r="O760" s="257"/>
      <c r="P760" s="257"/>
      <c r="Q760" s="257"/>
      <c r="R760" s="257"/>
      <c r="S760" s="257"/>
      <c r="T760" s="257"/>
      <c r="U760" s="257"/>
      <c r="V760" s="257"/>
      <c r="W760" s="257"/>
      <c r="X760" s="257"/>
      <c r="Y760" s="257"/>
      <c r="Z760" s="257"/>
    </row>
    <row r="761" ht="14.25" customHeight="1">
      <c r="A761" s="257"/>
      <c r="B761" s="257"/>
      <c r="C761" s="257"/>
      <c r="D761" s="257"/>
      <c r="E761" s="257"/>
      <c r="F761" s="257"/>
      <c r="G761" s="257"/>
      <c r="H761" s="257"/>
      <c r="I761" s="257"/>
      <c r="J761" s="257"/>
      <c r="K761" s="257"/>
      <c r="L761" s="257"/>
      <c r="M761" s="257"/>
      <c r="N761" s="257"/>
      <c r="O761" s="257"/>
      <c r="P761" s="257"/>
      <c r="Q761" s="257"/>
      <c r="R761" s="257"/>
      <c r="S761" s="257"/>
      <c r="T761" s="257"/>
      <c r="U761" s="257"/>
      <c r="V761" s="257"/>
      <c r="W761" s="257"/>
      <c r="X761" s="257"/>
      <c r="Y761" s="257"/>
      <c r="Z761" s="257"/>
    </row>
    <row r="762" ht="14.25" customHeight="1">
      <c r="A762" s="257"/>
      <c r="B762" s="257"/>
      <c r="C762" s="257"/>
      <c r="D762" s="257"/>
      <c r="E762" s="257"/>
      <c r="F762" s="257"/>
      <c r="G762" s="257"/>
      <c r="H762" s="257"/>
      <c r="I762" s="257"/>
      <c r="J762" s="257"/>
      <c r="K762" s="257"/>
      <c r="L762" s="257"/>
      <c r="M762" s="257"/>
      <c r="N762" s="257"/>
      <c r="O762" s="257"/>
      <c r="P762" s="257"/>
      <c r="Q762" s="257"/>
      <c r="R762" s="257"/>
      <c r="S762" s="257"/>
      <c r="T762" s="257"/>
      <c r="U762" s="257"/>
      <c r="V762" s="257"/>
      <c r="W762" s="257"/>
      <c r="X762" s="257"/>
      <c r="Y762" s="257"/>
      <c r="Z762" s="257"/>
    </row>
    <row r="763" ht="14.25" customHeight="1">
      <c r="A763" s="257"/>
      <c r="B763" s="257"/>
      <c r="C763" s="257"/>
      <c r="D763" s="257"/>
      <c r="E763" s="257"/>
      <c r="F763" s="257"/>
      <c r="G763" s="257"/>
      <c r="H763" s="257"/>
      <c r="I763" s="257"/>
      <c r="J763" s="257"/>
      <c r="K763" s="257"/>
      <c r="L763" s="257"/>
      <c r="M763" s="257"/>
      <c r="N763" s="257"/>
      <c r="O763" s="257"/>
      <c r="P763" s="257"/>
      <c r="Q763" s="257"/>
      <c r="R763" s="257"/>
      <c r="S763" s="257"/>
      <c r="T763" s="257"/>
      <c r="U763" s="257"/>
      <c r="V763" s="257"/>
      <c r="W763" s="257"/>
      <c r="X763" s="257"/>
      <c r="Y763" s="257"/>
      <c r="Z763" s="257"/>
    </row>
    <row r="764" ht="14.25" customHeight="1">
      <c r="A764" s="257"/>
      <c r="B764" s="257"/>
      <c r="C764" s="257"/>
      <c r="D764" s="257"/>
      <c r="E764" s="257"/>
      <c r="F764" s="257"/>
      <c r="G764" s="257"/>
      <c r="H764" s="257"/>
      <c r="I764" s="257"/>
      <c r="J764" s="257"/>
      <c r="K764" s="257"/>
      <c r="L764" s="257"/>
      <c r="M764" s="257"/>
      <c r="N764" s="257"/>
      <c r="O764" s="257"/>
      <c r="P764" s="257"/>
      <c r="Q764" s="257"/>
      <c r="R764" s="257"/>
      <c r="S764" s="257"/>
      <c r="T764" s="257"/>
      <c r="U764" s="257"/>
      <c r="V764" s="257"/>
      <c r="W764" s="257"/>
      <c r="X764" s="257"/>
      <c r="Y764" s="257"/>
      <c r="Z764" s="257"/>
    </row>
    <row r="765" ht="14.25" customHeight="1">
      <c r="A765" s="257"/>
      <c r="B765" s="257"/>
      <c r="C765" s="257"/>
      <c r="D765" s="257"/>
      <c r="E765" s="257"/>
      <c r="F765" s="257"/>
      <c r="G765" s="257"/>
      <c r="H765" s="257"/>
      <c r="I765" s="257"/>
      <c r="J765" s="257"/>
      <c r="K765" s="257"/>
      <c r="L765" s="257"/>
      <c r="M765" s="257"/>
      <c r="N765" s="257"/>
      <c r="O765" s="257"/>
      <c r="P765" s="257"/>
      <c r="Q765" s="257"/>
      <c r="R765" s="257"/>
      <c r="S765" s="257"/>
      <c r="T765" s="257"/>
      <c r="U765" s="257"/>
      <c r="V765" s="257"/>
      <c r="W765" s="257"/>
      <c r="X765" s="257"/>
      <c r="Y765" s="257"/>
      <c r="Z765" s="257"/>
    </row>
    <row r="766" ht="14.25" customHeight="1">
      <c r="A766" s="257"/>
      <c r="B766" s="257"/>
      <c r="C766" s="257"/>
      <c r="D766" s="257"/>
      <c r="E766" s="257"/>
      <c r="F766" s="257"/>
      <c r="G766" s="257"/>
      <c r="H766" s="257"/>
      <c r="I766" s="257"/>
      <c r="J766" s="257"/>
      <c r="K766" s="257"/>
      <c r="L766" s="257"/>
      <c r="M766" s="257"/>
      <c r="N766" s="257"/>
      <c r="O766" s="257"/>
      <c r="P766" s="257"/>
      <c r="Q766" s="257"/>
      <c r="R766" s="257"/>
      <c r="S766" s="257"/>
      <c r="T766" s="257"/>
      <c r="U766" s="257"/>
      <c r="V766" s="257"/>
      <c r="W766" s="257"/>
      <c r="X766" s="257"/>
      <c r="Y766" s="257"/>
      <c r="Z766" s="257"/>
    </row>
    <row r="767" ht="14.25" customHeight="1">
      <c r="A767" s="257"/>
      <c r="B767" s="257"/>
      <c r="C767" s="257"/>
      <c r="D767" s="257"/>
      <c r="E767" s="257"/>
      <c r="F767" s="257"/>
      <c r="G767" s="257"/>
      <c r="H767" s="257"/>
      <c r="I767" s="257"/>
      <c r="J767" s="257"/>
      <c r="K767" s="257"/>
      <c r="L767" s="257"/>
      <c r="M767" s="257"/>
      <c r="N767" s="257"/>
      <c r="O767" s="257"/>
      <c r="P767" s="257"/>
      <c r="Q767" s="257"/>
      <c r="R767" s="257"/>
      <c r="S767" s="257"/>
      <c r="T767" s="257"/>
      <c r="U767" s="257"/>
      <c r="V767" s="257"/>
      <c r="W767" s="257"/>
      <c r="X767" s="257"/>
      <c r="Y767" s="257"/>
      <c r="Z767" s="257"/>
    </row>
    <row r="768" ht="14.25" customHeight="1">
      <c r="A768" s="257"/>
      <c r="B768" s="257"/>
      <c r="C768" s="257"/>
      <c r="D768" s="257"/>
      <c r="E768" s="257"/>
      <c r="F768" s="257"/>
      <c r="G768" s="257"/>
      <c r="H768" s="257"/>
      <c r="I768" s="257"/>
      <c r="J768" s="257"/>
      <c r="K768" s="257"/>
      <c r="L768" s="257"/>
      <c r="M768" s="257"/>
      <c r="N768" s="257"/>
      <c r="O768" s="257"/>
      <c r="P768" s="257"/>
      <c r="Q768" s="257"/>
      <c r="R768" s="257"/>
      <c r="S768" s="257"/>
      <c r="T768" s="257"/>
      <c r="U768" s="257"/>
      <c r="V768" s="257"/>
      <c r="W768" s="257"/>
      <c r="X768" s="257"/>
      <c r="Y768" s="257"/>
      <c r="Z768" s="257"/>
    </row>
    <row r="769" ht="14.25" customHeight="1">
      <c r="A769" s="257"/>
      <c r="B769" s="257"/>
      <c r="C769" s="257"/>
      <c r="D769" s="257"/>
      <c r="E769" s="257"/>
      <c r="F769" s="257"/>
      <c r="G769" s="257"/>
      <c r="H769" s="257"/>
      <c r="I769" s="257"/>
      <c r="J769" s="257"/>
      <c r="K769" s="257"/>
      <c r="L769" s="257"/>
      <c r="M769" s="257"/>
      <c r="N769" s="257"/>
      <c r="O769" s="257"/>
      <c r="P769" s="257"/>
      <c r="Q769" s="257"/>
      <c r="R769" s="257"/>
      <c r="S769" s="257"/>
      <c r="T769" s="257"/>
      <c r="U769" s="257"/>
      <c r="V769" s="257"/>
      <c r="W769" s="257"/>
      <c r="X769" s="257"/>
      <c r="Y769" s="257"/>
      <c r="Z769" s="257"/>
    </row>
    <row r="770" ht="14.25" customHeight="1">
      <c r="A770" s="257"/>
      <c r="B770" s="257"/>
      <c r="C770" s="257"/>
      <c r="D770" s="257"/>
      <c r="E770" s="257"/>
      <c r="F770" s="257"/>
      <c r="G770" s="257"/>
      <c r="H770" s="257"/>
      <c r="I770" s="257"/>
      <c r="J770" s="257"/>
      <c r="K770" s="257"/>
      <c r="L770" s="257"/>
      <c r="M770" s="257"/>
      <c r="N770" s="257"/>
      <c r="O770" s="257"/>
      <c r="P770" s="257"/>
      <c r="Q770" s="257"/>
      <c r="R770" s="257"/>
      <c r="S770" s="257"/>
      <c r="T770" s="257"/>
      <c r="U770" s="257"/>
      <c r="V770" s="257"/>
      <c r="W770" s="257"/>
      <c r="X770" s="257"/>
      <c r="Y770" s="257"/>
      <c r="Z770" s="257"/>
    </row>
    <row r="771" ht="14.25" customHeight="1">
      <c r="A771" s="257"/>
      <c r="B771" s="257"/>
      <c r="C771" s="257"/>
      <c r="D771" s="257"/>
      <c r="E771" s="257"/>
      <c r="F771" s="257"/>
      <c r="G771" s="257"/>
      <c r="H771" s="257"/>
      <c r="I771" s="257"/>
      <c r="J771" s="257"/>
      <c r="K771" s="257"/>
      <c r="L771" s="257"/>
      <c r="M771" s="257"/>
      <c r="N771" s="257"/>
      <c r="O771" s="257"/>
      <c r="P771" s="257"/>
      <c r="Q771" s="257"/>
      <c r="R771" s="257"/>
      <c r="S771" s="257"/>
      <c r="T771" s="257"/>
      <c r="U771" s="257"/>
      <c r="V771" s="257"/>
      <c r="W771" s="257"/>
      <c r="X771" s="257"/>
      <c r="Y771" s="257"/>
      <c r="Z771" s="257"/>
    </row>
    <row r="772" ht="14.25" customHeight="1">
      <c r="A772" s="257"/>
      <c r="B772" s="257"/>
      <c r="C772" s="257"/>
      <c r="D772" s="257"/>
      <c r="E772" s="257"/>
      <c r="F772" s="257"/>
      <c r="G772" s="257"/>
      <c r="H772" s="257"/>
      <c r="I772" s="257"/>
      <c r="J772" s="257"/>
      <c r="K772" s="257"/>
      <c r="L772" s="257"/>
      <c r="M772" s="257"/>
      <c r="N772" s="257"/>
      <c r="O772" s="257"/>
      <c r="P772" s="257"/>
      <c r="Q772" s="257"/>
      <c r="R772" s="257"/>
      <c r="S772" s="257"/>
      <c r="T772" s="257"/>
      <c r="U772" s="257"/>
      <c r="V772" s="257"/>
      <c r="W772" s="257"/>
      <c r="X772" s="257"/>
      <c r="Y772" s="257"/>
      <c r="Z772" s="257"/>
    </row>
    <row r="773" ht="14.25" customHeight="1">
      <c r="A773" s="257"/>
      <c r="B773" s="257"/>
      <c r="C773" s="257"/>
      <c r="D773" s="257"/>
      <c r="E773" s="257"/>
      <c r="F773" s="257"/>
      <c r="G773" s="257"/>
      <c r="H773" s="257"/>
      <c r="I773" s="257"/>
      <c r="J773" s="257"/>
      <c r="K773" s="257"/>
      <c r="L773" s="257"/>
      <c r="M773" s="257"/>
      <c r="N773" s="257"/>
      <c r="O773" s="257"/>
      <c r="P773" s="257"/>
      <c r="Q773" s="257"/>
      <c r="R773" s="257"/>
      <c r="S773" s="257"/>
      <c r="T773" s="257"/>
      <c r="U773" s="257"/>
      <c r="V773" s="257"/>
      <c r="W773" s="257"/>
      <c r="X773" s="257"/>
      <c r="Y773" s="257"/>
      <c r="Z773" s="257"/>
    </row>
    <row r="774" ht="14.25" customHeight="1">
      <c r="A774" s="257"/>
      <c r="B774" s="257"/>
      <c r="C774" s="257"/>
      <c r="D774" s="257"/>
      <c r="E774" s="257"/>
      <c r="F774" s="257"/>
      <c r="G774" s="257"/>
      <c r="H774" s="257"/>
      <c r="I774" s="257"/>
      <c r="J774" s="257"/>
      <c r="K774" s="257"/>
      <c r="L774" s="257"/>
      <c r="M774" s="257"/>
      <c r="N774" s="257"/>
      <c r="O774" s="257"/>
      <c r="P774" s="257"/>
      <c r="Q774" s="257"/>
      <c r="R774" s="257"/>
      <c r="S774" s="257"/>
      <c r="T774" s="257"/>
      <c r="U774" s="257"/>
      <c r="V774" s="257"/>
      <c r="W774" s="257"/>
      <c r="X774" s="257"/>
      <c r="Y774" s="257"/>
      <c r="Z774" s="257"/>
    </row>
    <row r="775" ht="14.25" customHeight="1">
      <c r="A775" s="257"/>
      <c r="B775" s="257"/>
      <c r="C775" s="257"/>
      <c r="D775" s="257"/>
      <c r="E775" s="257"/>
      <c r="F775" s="257"/>
      <c r="G775" s="257"/>
      <c r="H775" s="257"/>
      <c r="I775" s="257"/>
      <c r="J775" s="257"/>
      <c r="K775" s="257"/>
      <c r="L775" s="257"/>
      <c r="M775" s="257"/>
      <c r="N775" s="257"/>
      <c r="O775" s="257"/>
      <c r="P775" s="257"/>
      <c r="Q775" s="257"/>
      <c r="R775" s="257"/>
      <c r="S775" s="257"/>
      <c r="T775" s="257"/>
      <c r="U775" s="257"/>
      <c r="V775" s="257"/>
      <c r="W775" s="257"/>
      <c r="X775" s="257"/>
      <c r="Y775" s="257"/>
      <c r="Z775" s="257"/>
    </row>
    <row r="776" ht="14.25" customHeight="1">
      <c r="A776" s="257"/>
      <c r="B776" s="257"/>
      <c r="C776" s="257"/>
      <c r="D776" s="257"/>
      <c r="E776" s="257"/>
      <c r="F776" s="257"/>
      <c r="G776" s="257"/>
      <c r="H776" s="257"/>
      <c r="I776" s="257"/>
      <c r="J776" s="257"/>
      <c r="K776" s="257"/>
      <c r="L776" s="257"/>
      <c r="M776" s="257"/>
      <c r="N776" s="257"/>
      <c r="O776" s="257"/>
      <c r="P776" s="257"/>
      <c r="Q776" s="257"/>
      <c r="R776" s="257"/>
      <c r="S776" s="257"/>
      <c r="T776" s="257"/>
      <c r="U776" s="257"/>
      <c r="V776" s="257"/>
      <c r="W776" s="257"/>
      <c r="X776" s="257"/>
      <c r="Y776" s="257"/>
      <c r="Z776" s="257"/>
    </row>
    <row r="777" ht="14.25" customHeight="1">
      <c r="A777" s="257"/>
      <c r="B777" s="257"/>
      <c r="C777" s="257"/>
      <c r="D777" s="257"/>
      <c r="E777" s="257"/>
      <c r="F777" s="257"/>
      <c r="G777" s="257"/>
      <c r="H777" s="257"/>
      <c r="I777" s="257"/>
      <c r="J777" s="257"/>
      <c r="K777" s="257"/>
      <c r="L777" s="257"/>
      <c r="M777" s="257"/>
      <c r="N777" s="257"/>
      <c r="O777" s="257"/>
      <c r="P777" s="257"/>
      <c r="Q777" s="257"/>
      <c r="R777" s="257"/>
      <c r="S777" s="257"/>
      <c r="T777" s="257"/>
      <c r="U777" s="257"/>
      <c r="V777" s="257"/>
      <c r="W777" s="257"/>
      <c r="X777" s="257"/>
      <c r="Y777" s="257"/>
      <c r="Z777" s="257"/>
    </row>
    <row r="778" ht="14.25" customHeight="1">
      <c r="A778" s="257"/>
      <c r="B778" s="257"/>
      <c r="C778" s="257"/>
      <c r="D778" s="257"/>
      <c r="E778" s="257"/>
      <c r="F778" s="257"/>
      <c r="G778" s="257"/>
      <c r="H778" s="257"/>
      <c r="I778" s="257"/>
      <c r="J778" s="257"/>
      <c r="K778" s="257"/>
      <c r="L778" s="257"/>
      <c r="M778" s="257"/>
      <c r="N778" s="257"/>
      <c r="O778" s="257"/>
      <c r="P778" s="257"/>
      <c r="Q778" s="257"/>
      <c r="R778" s="257"/>
      <c r="S778" s="257"/>
      <c r="T778" s="257"/>
      <c r="U778" s="257"/>
      <c r="V778" s="257"/>
      <c r="W778" s="257"/>
      <c r="X778" s="257"/>
      <c r="Y778" s="257"/>
      <c r="Z778" s="257"/>
    </row>
    <row r="779" ht="14.25" customHeight="1">
      <c r="A779" s="257"/>
      <c r="B779" s="257"/>
      <c r="C779" s="257"/>
      <c r="D779" s="257"/>
      <c r="E779" s="257"/>
      <c r="F779" s="257"/>
      <c r="G779" s="257"/>
      <c r="H779" s="257"/>
      <c r="I779" s="257"/>
      <c r="J779" s="257"/>
      <c r="K779" s="257"/>
      <c r="L779" s="257"/>
      <c r="M779" s="257"/>
      <c r="N779" s="257"/>
      <c r="O779" s="257"/>
      <c r="P779" s="257"/>
      <c r="Q779" s="257"/>
      <c r="R779" s="257"/>
      <c r="S779" s="257"/>
      <c r="T779" s="257"/>
      <c r="U779" s="257"/>
      <c r="V779" s="257"/>
      <c r="W779" s="257"/>
      <c r="X779" s="257"/>
      <c r="Y779" s="257"/>
      <c r="Z779" s="257"/>
    </row>
    <row r="780" ht="14.25" customHeight="1">
      <c r="A780" s="257"/>
      <c r="B780" s="257"/>
      <c r="C780" s="257"/>
      <c r="D780" s="257"/>
      <c r="E780" s="257"/>
      <c r="F780" s="257"/>
      <c r="G780" s="257"/>
      <c r="H780" s="257"/>
      <c r="I780" s="257"/>
      <c r="J780" s="257"/>
      <c r="K780" s="257"/>
      <c r="L780" s="257"/>
      <c r="M780" s="257"/>
      <c r="N780" s="257"/>
      <c r="O780" s="257"/>
      <c r="P780" s="257"/>
      <c r="Q780" s="257"/>
      <c r="R780" s="257"/>
      <c r="S780" s="257"/>
      <c r="T780" s="257"/>
      <c r="U780" s="257"/>
      <c r="V780" s="257"/>
      <c r="W780" s="257"/>
      <c r="X780" s="257"/>
      <c r="Y780" s="257"/>
      <c r="Z780" s="257"/>
    </row>
    <row r="781" ht="14.25" customHeight="1">
      <c r="A781" s="257"/>
      <c r="B781" s="257"/>
      <c r="C781" s="257"/>
      <c r="D781" s="257"/>
      <c r="E781" s="257"/>
      <c r="F781" s="257"/>
      <c r="G781" s="257"/>
      <c r="H781" s="257"/>
      <c r="I781" s="257"/>
      <c r="J781" s="257"/>
      <c r="K781" s="257"/>
      <c r="L781" s="257"/>
      <c r="M781" s="257"/>
      <c r="N781" s="257"/>
      <c r="O781" s="257"/>
      <c r="P781" s="257"/>
      <c r="Q781" s="257"/>
      <c r="R781" s="257"/>
      <c r="S781" s="257"/>
      <c r="T781" s="257"/>
      <c r="U781" s="257"/>
      <c r="V781" s="257"/>
      <c r="W781" s="257"/>
      <c r="X781" s="257"/>
      <c r="Y781" s="257"/>
      <c r="Z781" s="257"/>
    </row>
    <row r="782" ht="14.25" customHeight="1">
      <c r="A782" s="257"/>
      <c r="B782" s="257"/>
      <c r="C782" s="257"/>
      <c r="D782" s="257"/>
      <c r="E782" s="257"/>
      <c r="F782" s="257"/>
      <c r="G782" s="257"/>
      <c r="H782" s="257"/>
      <c r="I782" s="257"/>
      <c r="J782" s="257"/>
      <c r="K782" s="257"/>
      <c r="L782" s="257"/>
      <c r="M782" s="257"/>
      <c r="N782" s="257"/>
      <c r="O782" s="257"/>
      <c r="P782" s="257"/>
      <c r="Q782" s="257"/>
      <c r="R782" s="257"/>
      <c r="S782" s="257"/>
      <c r="T782" s="257"/>
      <c r="U782" s="257"/>
      <c r="V782" s="257"/>
      <c r="W782" s="257"/>
      <c r="X782" s="257"/>
      <c r="Y782" s="257"/>
      <c r="Z782" s="257"/>
    </row>
    <row r="783" ht="14.25" customHeight="1">
      <c r="A783" s="257"/>
      <c r="B783" s="257"/>
      <c r="C783" s="257"/>
      <c r="D783" s="257"/>
      <c r="E783" s="257"/>
      <c r="F783" s="257"/>
      <c r="G783" s="257"/>
      <c r="H783" s="257"/>
      <c r="I783" s="257"/>
      <c r="J783" s="257"/>
      <c r="K783" s="257"/>
      <c r="L783" s="257"/>
      <c r="M783" s="257"/>
      <c r="N783" s="257"/>
      <c r="O783" s="257"/>
      <c r="P783" s="257"/>
      <c r="Q783" s="257"/>
      <c r="R783" s="257"/>
      <c r="S783" s="257"/>
      <c r="T783" s="257"/>
      <c r="U783" s="257"/>
      <c r="V783" s="257"/>
      <c r="W783" s="257"/>
      <c r="X783" s="257"/>
      <c r="Y783" s="257"/>
      <c r="Z783" s="257"/>
    </row>
    <row r="784" ht="14.25" customHeight="1">
      <c r="A784" s="257"/>
      <c r="B784" s="257"/>
      <c r="C784" s="257"/>
      <c r="D784" s="257"/>
      <c r="E784" s="257"/>
      <c r="F784" s="257"/>
      <c r="G784" s="257"/>
      <c r="H784" s="257"/>
      <c r="I784" s="257"/>
      <c r="J784" s="257"/>
      <c r="K784" s="257"/>
      <c r="L784" s="257"/>
      <c r="M784" s="257"/>
      <c r="N784" s="257"/>
      <c r="O784" s="257"/>
      <c r="P784" s="257"/>
      <c r="Q784" s="257"/>
      <c r="R784" s="257"/>
      <c r="S784" s="257"/>
      <c r="T784" s="257"/>
      <c r="U784" s="257"/>
      <c r="V784" s="257"/>
      <c r="W784" s="257"/>
      <c r="X784" s="257"/>
      <c r="Y784" s="257"/>
      <c r="Z784" s="257"/>
    </row>
    <row r="785" ht="14.25" customHeight="1">
      <c r="A785" s="257"/>
      <c r="B785" s="257"/>
      <c r="C785" s="257"/>
      <c r="D785" s="257"/>
      <c r="E785" s="257"/>
      <c r="F785" s="257"/>
      <c r="G785" s="257"/>
      <c r="H785" s="257"/>
      <c r="I785" s="257"/>
      <c r="J785" s="257"/>
      <c r="K785" s="257"/>
      <c r="L785" s="257"/>
      <c r="M785" s="257"/>
      <c r="N785" s="257"/>
      <c r="O785" s="257"/>
      <c r="P785" s="257"/>
      <c r="Q785" s="257"/>
      <c r="R785" s="257"/>
      <c r="S785" s="257"/>
      <c r="T785" s="257"/>
      <c r="U785" s="257"/>
      <c r="V785" s="257"/>
      <c r="W785" s="257"/>
      <c r="X785" s="257"/>
      <c r="Y785" s="257"/>
      <c r="Z785" s="257"/>
    </row>
    <row r="786" ht="14.25" customHeight="1">
      <c r="A786" s="257"/>
      <c r="B786" s="257"/>
      <c r="C786" s="257"/>
      <c r="D786" s="257"/>
      <c r="E786" s="257"/>
      <c r="F786" s="257"/>
      <c r="G786" s="257"/>
      <c r="H786" s="257"/>
      <c r="I786" s="257"/>
      <c r="J786" s="257"/>
      <c r="K786" s="257"/>
      <c r="L786" s="257"/>
      <c r="M786" s="257"/>
      <c r="N786" s="257"/>
      <c r="O786" s="257"/>
      <c r="P786" s="257"/>
      <c r="Q786" s="257"/>
      <c r="R786" s="257"/>
      <c r="S786" s="257"/>
      <c r="T786" s="257"/>
      <c r="U786" s="257"/>
      <c r="V786" s="257"/>
      <c r="W786" s="257"/>
      <c r="X786" s="257"/>
      <c r="Y786" s="257"/>
      <c r="Z786" s="257"/>
    </row>
    <row r="787" ht="14.25" customHeight="1">
      <c r="A787" s="257"/>
      <c r="B787" s="257"/>
      <c r="C787" s="257"/>
      <c r="D787" s="257"/>
      <c r="E787" s="257"/>
      <c r="F787" s="257"/>
      <c r="G787" s="257"/>
      <c r="H787" s="257"/>
      <c r="I787" s="257"/>
      <c r="J787" s="257"/>
      <c r="K787" s="257"/>
      <c r="L787" s="257"/>
      <c r="M787" s="257"/>
      <c r="N787" s="257"/>
      <c r="O787" s="257"/>
      <c r="P787" s="257"/>
      <c r="Q787" s="257"/>
      <c r="R787" s="257"/>
      <c r="S787" s="257"/>
      <c r="T787" s="257"/>
      <c r="U787" s="257"/>
      <c r="V787" s="257"/>
      <c r="W787" s="257"/>
      <c r="X787" s="257"/>
      <c r="Y787" s="257"/>
      <c r="Z787" s="257"/>
    </row>
    <row r="788" ht="14.25" customHeight="1">
      <c r="A788" s="257"/>
      <c r="B788" s="257"/>
      <c r="C788" s="257"/>
      <c r="D788" s="257"/>
      <c r="E788" s="257"/>
      <c r="F788" s="257"/>
      <c r="G788" s="257"/>
      <c r="H788" s="257"/>
      <c r="I788" s="257"/>
      <c r="J788" s="257"/>
      <c r="K788" s="257"/>
      <c r="L788" s="257"/>
      <c r="M788" s="257"/>
      <c r="N788" s="257"/>
      <c r="O788" s="257"/>
      <c r="P788" s="257"/>
      <c r="Q788" s="257"/>
      <c r="R788" s="257"/>
      <c r="S788" s="257"/>
      <c r="T788" s="257"/>
      <c r="U788" s="257"/>
      <c r="V788" s="257"/>
      <c r="W788" s="257"/>
      <c r="X788" s="257"/>
      <c r="Y788" s="257"/>
      <c r="Z788" s="257"/>
    </row>
    <row r="789" ht="14.25" customHeight="1">
      <c r="A789" s="257"/>
      <c r="B789" s="257"/>
      <c r="C789" s="257"/>
      <c r="D789" s="257"/>
      <c r="E789" s="257"/>
      <c r="F789" s="257"/>
      <c r="G789" s="257"/>
      <c r="H789" s="257"/>
      <c r="I789" s="257"/>
      <c r="J789" s="257"/>
      <c r="K789" s="257"/>
      <c r="L789" s="257"/>
      <c r="M789" s="257"/>
      <c r="N789" s="257"/>
      <c r="O789" s="257"/>
      <c r="P789" s="257"/>
      <c r="Q789" s="257"/>
      <c r="R789" s="257"/>
      <c r="S789" s="257"/>
      <c r="T789" s="257"/>
      <c r="U789" s="257"/>
      <c r="V789" s="257"/>
      <c r="W789" s="257"/>
      <c r="X789" s="257"/>
      <c r="Y789" s="257"/>
      <c r="Z789" s="257"/>
    </row>
    <row r="790" ht="14.25" customHeight="1">
      <c r="A790" s="257"/>
      <c r="B790" s="257"/>
      <c r="C790" s="257"/>
      <c r="D790" s="257"/>
      <c r="E790" s="257"/>
      <c r="F790" s="257"/>
      <c r="G790" s="257"/>
      <c r="H790" s="257"/>
      <c r="I790" s="257"/>
      <c r="J790" s="257"/>
      <c r="K790" s="257"/>
      <c r="L790" s="257"/>
      <c r="M790" s="257"/>
      <c r="N790" s="257"/>
      <c r="O790" s="257"/>
      <c r="P790" s="257"/>
      <c r="Q790" s="257"/>
      <c r="R790" s="257"/>
      <c r="S790" s="257"/>
      <c r="T790" s="257"/>
      <c r="U790" s="257"/>
      <c r="V790" s="257"/>
      <c r="W790" s="257"/>
      <c r="X790" s="257"/>
      <c r="Y790" s="257"/>
      <c r="Z790" s="257"/>
    </row>
    <row r="791" ht="14.25" customHeight="1">
      <c r="A791" s="257"/>
      <c r="B791" s="257"/>
      <c r="C791" s="257"/>
      <c r="D791" s="257"/>
      <c r="E791" s="257"/>
      <c r="F791" s="257"/>
      <c r="G791" s="257"/>
      <c r="H791" s="257"/>
      <c r="I791" s="257"/>
      <c r="J791" s="257"/>
      <c r="K791" s="257"/>
      <c r="L791" s="257"/>
      <c r="M791" s="257"/>
      <c r="N791" s="257"/>
      <c r="O791" s="257"/>
      <c r="P791" s="257"/>
      <c r="Q791" s="257"/>
      <c r="R791" s="257"/>
      <c r="S791" s="257"/>
      <c r="T791" s="257"/>
      <c r="U791" s="257"/>
      <c r="V791" s="257"/>
      <c r="W791" s="257"/>
      <c r="X791" s="257"/>
      <c r="Y791" s="257"/>
      <c r="Z791" s="257"/>
    </row>
    <row r="792" ht="14.25" customHeight="1">
      <c r="A792" s="257"/>
      <c r="B792" s="257"/>
      <c r="C792" s="257"/>
      <c r="D792" s="257"/>
      <c r="E792" s="257"/>
      <c r="F792" s="257"/>
      <c r="G792" s="257"/>
      <c r="H792" s="257"/>
      <c r="I792" s="257"/>
      <c r="J792" s="257"/>
      <c r="K792" s="257"/>
      <c r="L792" s="257"/>
      <c r="M792" s="257"/>
      <c r="N792" s="257"/>
      <c r="O792" s="257"/>
      <c r="P792" s="257"/>
      <c r="Q792" s="257"/>
      <c r="R792" s="257"/>
      <c r="S792" s="257"/>
      <c r="T792" s="257"/>
      <c r="U792" s="257"/>
      <c r="V792" s="257"/>
      <c r="W792" s="257"/>
      <c r="X792" s="257"/>
      <c r="Y792" s="257"/>
      <c r="Z792" s="257"/>
    </row>
    <row r="793" ht="14.25" customHeight="1">
      <c r="A793" s="257"/>
      <c r="B793" s="257"/>
      <c r="C793" s="257"/>
      <c r="D793" s="257"/>
      <c r="E793" s="257"/>
      <c r="F793" s="257"/>
      <c r="G793" s="257"/>
      <c r="H793" s="257"/>
      <c r="I793" s="257"/>
      <c r="J793" s="257"/>
      <c r="K793" s="257"/>
      <c r="L793" s="257"/>
      <c r="M793" s="257"/>
      <c r="N793" s="257"/>
      <c r="O793" s="257"/>
      <c r="P793" s="257"/>
      <c r="Q793" s="257"/>
      <c r="R793" s="257"/>
      <c r="S793" s="257"/>
      <c r="T793" s="257"/>
      <c r="U793" s="257"/>
      <c r="V793" s="257"/>
      <c r="W793" s="257"/>
      <c r="X793" s="257"/>
      <c r="Y793" s="257"/>
      <c r="Z793" s="257"/>
    </row>
    <row r="794" ht="14.25" customHeight="1">
      <c r="A794" s="257"/>
      <c r="B794" s="257"/>
      <c r="C794" s="257"/>
      <c r="D794" s="257"/>
      <c r="E794" s="257"/>
      <c r="F794" s="257"/>
      <c r="G794" s="257"/>
      <c r="H794" s="257"/>
      <c r="I794" s="257"/>
      <c r="J794" s="257"/>
      <c r="K794" s="257"/>
      <c r="L794" s="257"/>
      <c r="M794" s="257"/>
      <c r="N794" s="257"/>
      <c r="O794" s="257"/>
      <c r="P794" s="257"/>
      <c r="Q794" s="257"/>
      <c r="R794" s="257"/>
      <c r="S794" s="257"/>
      <c r="T794" s="257"/>
      <c r="U794" s="257"/>
      <c r="V794" s="257"/>
      <c r="W794" s="257"/>
      <c r="X794" s="257"/>
      <c r="Y794" s="257"/>
      <c r="Z794" s="257"/>
    </row>
    <row r="795" ht="14.25" customHeight="1">
      <c r="A795" s="257"/>
      <c r="B795" s="257"/>
      <c r="C795" s="257"/>
      <c r="D795" s="257"/>
      <c r="E795" s="257"/>
      <c r="F795" s="257"/>
      <c r="G795" s="257"/>
      <c r="H795" s="257"/>
      <c r="I795" s="257"/>
      <c r="J795" s="257"/>
      <c r="K795" s="257"/>
      <c r="L795" s="257"/>
      <c r="M795" s="257"/>
      <c r="N795" s="257"/>
      <c r="O795" s="257"/>
      <c r="P795" s="257"/>
      <c r="Q795" s="257"/>
      <c r="R795" s="257"/>
      <c r="S795" s="257"/>
      <c r="T795" s="257"/>
      <c r="U795" s="257"/>
      <c r="V795" s="257"/>
      <c r="W795" s="257"/>
      <c r="X795" s="257"/>
      <c r="Y795" s="257"/>
      <c r="Z795" s="257"/>
    </row>
    <row r="796" ht="14.25" customHeight="1">
      <c r="A796" s="257"/>
      <c r="B796" s="257"/>
      <c r="C796" s="257"/>
      <c r="D796" s="257"/>
      <c r="E796" s="257"/>
      <c r="F796" s="257"/>
      <c r="G796" s="257"/>
      <c r="H796" s="257"/>
      <c r="I796" s="257"/>
      <c r="J796" s="257"/>
      <c r="K796" s="257"/>
      <c r="L796" s="257"/>
      <c r="M796" s="257"/>
      <c r="N796" s="257"/>
      <c r="O796" s="257"/>
      <c r="P796" s="257"/>
      <c r="Q796" s="257"/>
      <c r="R796" s="257"/>
      <c r="S796" s="257"/>
      <c r="T796" s="257"/>
      <c r="U796" s="257"/>
      <c r="V796" s="257"/>
      <c r="W796" s="257"/>
      <c r="X796" s="257"/>
      <c r="Y796" s="257"/>
      <c r="Z796" s="257"/>
    </row>
    <row r="797" ht="14.25" customHeight="1">
      <c r="A797" s="257"/>
      <c r="B797" s="257"/>
      <c r="C797" s="257"/>
      <c r="D797" s="257"/>
      <c r="E797" s="257"/>
      <c r="F797" s="257"/>
      <c r="G797" s="257"/>
      <c r="H797" s="257"/>
      <c r="I797" s="257"/>
      <c r="J797" s="257"/>
      <c r="K797" s="257"/>
      <c r="L797" s="257"/>
      <c r="M797" s="257"/>
      <c r="N797" s="257"/>
      <c r="O797" s="257"/>
      <c r="P797" s="257"/>
      <c r="Q797" s="257"/>
      <c r="R797" s="257"/>
      <c r="S797" s="257"/>
      <c r="T797" s="257"/>
      <c r="U797" s="257"/>
      <c r="V797" s="257"/>
      <c r="W797" s="257"/>
      <c r="X797" s="257"/>
      <c r="Y797" s="257"/>
      <c r="Z797" s="257"/>
    </row>
    <row r="798" ht="14.25" customHeight="1">
      <c r="A798" s="257"/>
      <c r="B798" s="257"/>
      <c r="C798" s="257"/>
      <c r="D798" s="257"/>
      <c r="E798" s="257"/>
      <c r="F798" s="257"/>
      <c r="G798" s="257"/>
      <c r="H798" s="257"/>
      <c r="I798" s="257"/>
      <c r="J798" s="257"/>
      <c r="K798" s="257"/>
      <c r="L798" s="257"/>
      <c r="M798" s="257"/>
      <c r="N798" s="257"/>
      <c r="O798" s="257"/>
      <c r="P798" s="257"/>
      <c r="Q798" s="257"/>
      <c r="R798" s="257"/>
      <c r="S798" s="257"/>
      <c r="T798" s="257"/>
      <c r="U798" s="257"/>
      <c r="V798" s="257"/>
      <c r="W798" s="257"/>
      <c r="X798" s="257"/>
      <c r="Y798" s="257"/>
      <c r="Z798" s="257"/>
    </row>
    <row r="799" ht="14.25" customHeight="1">
      <c r="A799" s="257"/>
      <c r="B799" s="257"/>
      <c r="C799" s="257"/>
      <c r="D799" s="257"/>
      <c r="E799" s="257"/>
      <c r="F799" s="257"/>
      <c r="G799" s="257"/>
      <c r="H799" s="257"/>
      <c r="I799" s="257"/>
      <c r="J799" s="257"/>
      <c r="K799" s="257"/>
      <c r="L799" s="257"/>
      <c r="M799" s="257"/>
      <c r="N799" s="257"/>
      <c r="O799" s="257"/>
      <c r="P799" s="257"/>
      <c r="Q799" s="257"/>
      <c r="R799" s="257"/>
      <c r="S799" s="257"/>
      <c r="T799" s="257"/>
      <c r="U799" s="257"/>
      <c r="V799" s="257"/>
      <c r="W799" s="257"/>
      <c r="X799" s="257"/>
      <c r="Y799" s="257"/>
      <c r="Z799" s="257"/>
    </row>
    <row r="800" ht="14.25" customHeight="1">
      <c r="A800" s="257"/>
      <c r="B800" s="257"/>
      <c r="C800" s="257"/>
      <c r="D800" s="257"/>
      <c r="E800" s="257"/>
      <c r="F800" s="257"/>
      <c r="G800" s="257"/>
      <c r="H800" s="257"/>
      <c r="I800" s="257"/>
      <c r="J800" s="257"/>
      <c r="K800" s="257"/>
      <c r="L800" s="257"/>
      <c r="M800" s="257"/>
      <c r="N800" s="257"/>
      <c r="O800" s="257"/>
      <c r="P800" s="257"/>
      <c r="Q800" s="257"/>
      <c r="R800" s="257"/>
      <c r="S800" s="257"/>
      <c r="T800" s="257"/>
      <c r="U800" s="257"/>
      <c r="V800" s="257"/>
      <c r="W800" s="257"/>
      <c r="X800" s="257"/>
      <c r="Y800" s="257"/>
      <c r="Z800" s="257"/>
    </row>
    <row r="801" ht="14.25" customHeight="1">
      <c r="A801" s="257"/>
      <c r="B801" s="257"/>
      <c r="C801" s="257"/>
      <c r="D801" s="257"/>
      <c r="E801" s="257"/>
      <c r="F801" s="257"/>
      <c r="G801" s="257"/>
      <c r="H801" s="257"/>
      <c r="I801" s="257"/>
      <c r="J801" s="257"/>
      <c r="K801" s="257"/>
      <c r="L801" s="257"/>
      <c r="M801" s="257"/>
      <c r="N801" s="257"/>
      <c r="O801" s="257"/>
      <c r="P801" s="257"/>
      <c r="Q801" s="257"/>
      <c r="R801" s="257"/>
      <c r="S801" s="257"/>
      <c r="T801" s="257"/>
      <c r="U801" s="257"/>
      <c r="V801" s="257"/>
      <c r="W801" s="257"/>
      <c r="X801" s="257"/>
      <c r="Y801" s="257"/>
      <c r="Z801" s="257"/>
    </row>
    <row r="802" ht="14.25" customHeight="1">
      <c r="A802" s="257"/>
      <c r="B802" s="257"/>
      <c r="C802" s="257"/>
      <c r="D802" s="257"/>
      <c r="E802" s="257"/>
      <c r="F802" s="257"/>
      <c r="G802" s="257"/>
      <c r="H802" s="257"/>
      <c r="I802" s="257"/>
      <c r="J802" s="257"/>
      <c r="K802" s="257"/>
      <c r="L802" s="257"/>
      <c r="M802" s="257"/>
      <c r="N802" s="257"/>
      <c r="O802" s="257"/>
      <c r="P802" s="257"/>
      <c r="Q802" s="257"/>
      <c r="R802" s="257"/>
      <c r="S802" s="257"/>
      <c r="T802" s="257"/>
      <c r="U802" s="257"/>
      <c r="V802" s="257"/>
      <c r="W802" s="257"/>
      <c r="X802" s="257"/>
      <c r="Y802" s="257"/>
      <c r="Z802" s="257"/>
    </row>
    <row r="803" ht="14.25" customHeight="1">
      <c r="A803" s="257"/>
      <c r="B803" s="257"/>
      <c r="C803" s="257"/>
      <c r="D803" s="257"/>
      <c r="E803" s="257"/>
      <c r="F803" s="257"/>
      <c r="G803" s="257"/>
      <c r="H803" s="257"/>
      <c r="I803" s="257"/>
      <c r="J803" s="257"/>
      <c r="K803" s="257"/>
      <c r="L803" s="257"/>
      <c r="M803" s="257"/>
      <c r="N803" s="257"/>
      <c r="O803" s="257"/>
      <c r="P803" s="257"/>
      <c r="Q803" s="257"/>
      <c r="R803" s="257"/>
      <c r="S803" s="257"/>
      <c r="T803" s="257"/>
      <c r="U803" s="257"/>
      <c r="V803" s="257"/>
      <c r="W803" s="257"/>
      <c r="X803" s="257"/>
      <c r="Y803" s="257"/>
      <c r="Z803" s="257"/>
    </row>
    <row r="804" ht="14.25" customHeight="1">
      <c r="A804" s="257"/>
      <c r="B804" s="257"/>
      <c r="C804" s="257"/>
      <c r="D804" s="257"/>
      <c r="E804" s="257"/>
      <c r="F804" s="257"/>
      <c r="G804" s="257"/>
      <c r="H804" s="257"/>
      <c r="I804" s="257"/>
      <c r="J804" s="257"/>
      <c r="K804" s="257"/>
      <c r="L804" s="257"/>
      <c r="M804" s="257"/>
      <c r="N804" s="257"/>
      <c r="O804" s="257"/>
      <c r="P804" s="257"/>
      <c r="Q804" s="257"/>
      <c r="R804" s="257"/>
      <c r="S804" s="257"/>
      <c r="T804" s="257"/>
      <c r="U804" s="257"/>
      <c r="V804" s="257"/>
      <c r="W804" s="257"/>
      <c r="X804" s="257"/>
      <c r="Y804" s="257"/>
      <c r="Z804" s="257"/>
    </row>
    <row r="805" ht="14.25" customHeight="1">
      <c r="A805" s="257"/>
      <c r="B805" s="257"/>
      <c r="C805" s="257"/>
      <c r="D805" s="257"/>
      <c r="E805" s="257"/>
      <c r="F805" s="257"/>
      <c r="G805" s="257"/>
      <c r="H805" s="257"/>
      <c r="I805" s="257"/>
      <c r="J805" s="257"/>
      <c r="K805" s="257"/>
      <c r="L805" s="257"/>
      <c r="M805" s="257"/>
      <c r="N805" s="257"/>
      <c r="O805" s="257"/>
      <c r="P805" s="257"/>
      <c r="Q805" s="257"/>
      <c r="R805" s="257"/>
      <c r="S805" s="257"/>
      <c r="T805" s="257"/>
      <c r="U805" s="257"/>
      <c r="V805" s="257"/>
      <c r="W805" s="257"/>
      <c r="X805" s="257"/>
      <c r="Y805" s="257"/>
      <c r="Z805" s="257"/>
    </row>
    <row r="806" ht="14.25" customHeight="1">
      <c r="A806" s="257"/>
      <c r="B806" s="257"/>
      <c r="C806" s="257"/>
      <c r="D806" s="257"/>
      <c r="E806" s="257"/>
      <c r="F806" s="257"/>
      <c r="G806" s="257"/>
      <c r="H806" s="257"/>
      <c r="I806" s="257"/>
      <c r="J806" s="257"/>
      <c r="K806" s="257"/>
      <c r="L806" s="257"/>
      <c r="M806" s="257"/>
      <c r="N806" s="257"/>
      <c r="O806" s="257"/>
      <c r="P806" s="257"/>
      <c r="Q806" s="257"/>
      <c r="R806" s="257"/>
      <c r="S806" s="257"/>
      <c r="T806" s="257"/>
      <c r="U806" s="257"/>
      <c r="V806" s="257"/>
      <c r="W806" s="257"/>
      <c r="X806" s="257"/>
      <c r="Y806" s="257"/>
      <c r="Z806" s="257"/>
    </row>
    <row r="807" ht="14.25" customHeight="1">
      <c r="A807" s="257"/>
      <c r="B807" s="257"/>
      <c r="C807" s="257"/>
      <c r="D807" s="257"/>
      <c r="E807" s="257"/>
      <c r="F807" s="257"/>
      <c r="G807" s="257"/>
      <c r="H807" s="257"/>
      <c r="I807" s="257"/>
      <c r="J807" s="257"/>
      <c r="K807" s="257"/>
      <c r="L807" s="257"/>
      <c r="M807" s="257"/>
      <c r="N807" s="257"/>
      <c r="O807" s="257"/>
      <c r="P807" s="257"/>
      <c r="Q807" s="257"/>
      <c r="R807" s="257"/>
      <c r="S807" s="257"/>
      <c r="T807" s="257"/>
      <c r="U807" s="257"/>
      <c r="V807" s="257"/>
      <c r="W807" s="257"/>
      <c r="X807" s="257"/>
      <c r="Y807" s="257"/>
      <c r="Z807" s="257"/>
    </row>
    <row r="808" ht="14.25" customHeight="1">
      <c r="A808" s="257"/>
      <c r="B808" s="257"/>
      <c r="C808" s="257"/>
      <c r="D808" s="257"/>
      <c r="E808" s="257"/>
      <c r="F808" s="257"/>
      <c r="G808" s="257"/>
      <c r="H808" s="257"/>
      <c r="I808" s="257"/>
      <c r="J808" s="257"/>
      <c r="K808" s="257"/>
      <c r="L808" s="257"/>
      <c r="M808" s="257"/>
      <c r="N808" s="257"/>
      <c r="O808" s="257"/>
      <c r="P808" s="257"/>
      <c r="Q808" s="257"/>
      <c r="R808" s="257"/>
      <c r="S808" s="257"/>
      <c r="T808" s="257"/>
      <c r="U808" s="257"/>
      <c r="V808" s="257"/>
      <c r="W808" s="257"/>
      <c r="X808" s="257"/>
      <c r="Y808" s="257"/>
      <c r="Z808" s="257"/>
    </row>
    <row r="809" ht="14.25" customHeight="1">
      <c r="A809" s="257"/>
      <c r="B809" s="257"/>
      <c r="C809" s="257"/>
      <c r="D809" s="257"/>
      <c r="E809" s="257"/>
      <c r="F809" s="257"/>
      <c r="G809" s="257"/>
      <c r="H809" s="257"/>
      <c r="I809" s="257"/>
      <c r="J809" s="257"/>
      <c r="K809" s="257"/>
      <c r="L809" s="257"/>
      <c r="M809" s="257"/>
      <c r="N809" s="257"/>
      <c r="O809" s="257"/>
      <c r="P809" s="257"/>
      <c r="Q809" s="257"/>
      <c r="R809" s="257"/>
      <c r="S809" s="257"/>
      <c r="T809" s="257"/>
      <c r="U809" s="257"/>
      <c r="V809" s="257"/>
      <c r="W809" s="257"/>
      <c r="X809" s="257"/>
      <c r="Y809" s="257"/>
      <c r="Z809" s="257"/>
    </row>
    <row r="810" ht="14.25" customHeight="1">
      <c r="A810" s="257"/>
      <c r="B810" s="257"/>
      <c r="C810" s="257"/>
      <c r="D810" s="257"/>
      <c r="E810" s="257"/>
      <c r="F810" s="257"/>
      <c r="G810" s="257"/>
      <c r="H810" s="257"/>
      <c r="I810" s="257"/>
      <c r="J810" s="257"/>
      <c r="K810" s="257"/>
      <c r="L810" s="257"/>
      <c r="M810" s="257"/>
      <c r="N810" s="257"/>
      <c r="O810" s="257"/>
      <c r="P810" s="257"/>
      <c r="Q810" s="257"/>
      <c r="R810" s="257"/>
      <c r="S810" s="257"/>
      <c r="T810" s="257"/>
      <c r="U810" s="257"/>
      <c r="V810" s="257"/>
      <c r="W810" s="257"/>
      <c r="X810" s="257"/>
      <c r="Y810" s="257"/>
      <c r="Z810" s="257"/>
    </row>
    <row r="811" ht="14.25" customHeight="1">
      <c r="A811" s="257"/>
      <c r="B811" s="257"/>
      <c r="C811" s="257"/>
      <c r="D811" s="257"/>
      <c r="E811" s="257"/>
      <c r="F811" s="257"/>
      <c r="G811" s="257"/>
      <c r="H811" s="257"/>
      <c r="I811" s="257"/>
      <c r="J811" s="257"/>
      <c r="K811" s="257"/>
      <c r="L811" s="257"/>
      <c r="M811" s="257"/>
      <c r="N811" s="257"/>
      <c r="O811" s="257"/>
      <c r="P811" s="257"/>
      <c r="Q811" s="257"/>
      <c r="R811" s="257"/>
      <c r="S811" s="257"/>
      <c r="T811" s="257"/>
      <c r="U811" s="257"/>
      <c r="V811" s="257"/>
      <c r="W811" s="257"/>
      <c r="X811" s="257"/>
      <c r="Y811" s="257"/>
      <c r="Z811" s="257"/>
    </row>
    <row r="812" ht="14.25" customHeight="1">
      <c r="A812" s="257"/>
      <c r="B812" s="257"/>
      <c r="C812" s="257"/>
      <c r="D812" s="257"/>
      <c r="E812" s="257"/>
      <c r="F812" s="257"/>
      <c r="G812" s="257"/>
      <c r="H812" s="257"/>
      <c r="I812" s="257"/>
      <c r="J812" s="257"/>
      <c r="K812" s="257"/>
      <c r="L812" s="257"/>
      <c r="M812" s="257"/>
      <c r="N812" s="257"/>
      <c r="O812" s="257"/>
      <c r="P812" s="257"/>
      <c r="Q812" s="257"/>
      <c r="R812" s="257"/>
      <c r="S812" s="257"/>
      <c r="T812" s="257"/>
      <c r="U812" s="257"/>
      <c r="V812" s="257"/>
      <c r="W812" s="257"/>
      <c r="X812" s="257"/>
      <c r="Y812" s="257"/>
      <c r="Z812" s="257"/>
    </row>
    <row r="813" ht="14.25" customHeight="1">
      <c r="A813" s="257"/>
      <c r="B813" s="257"/>
      <c r="C813" s="257"/>
      <c r="D813" s="257"/>
      <c r="E813" s="257"/>
      <c r="F813" s="257"/>
      <c r="G813" s="257"/>
      <c r="H813" s="257"/>
      <c r="I813" s="257"/>
      <c r="J813" s="257"/>
      <c r="K813" s="257"/>
      <c r="L813" s="257"/>
      <c r="M813" s="257"/>
      <c r="N813" s="257"/>
      <c r="O813" s="257"/>
      <c r="P813" s="257"/>
      <c r="Q813" s="257"/>
      <c r="R813" s="257"/>
      <c r="S813" s="257"/>
      <c r="T813" s="257"/>
      <c r="U813" s="257"/>
      <c r="V813" s="257"/>
      <c r="W813" s="257"/>
      <c r="X813" s="257"/>
      <c r="Y813" s="257"/>
      <c r="Z813" s="257"/>
    </row>
    <row r="814" ht="14.25" customHeight="1">
      <c r="A814" s="257"/>
      <c r="B814" s="257"/>
      <c r="C814" s="257"/>
      <c r="D814" s="257"/>
      <c r="E814" s="257"/>
      <c r="F814" s="257"/>
      <c r="G814" s="257"/>
      <c r="H814" s="257"/>
      <c r="I814" s="257"/>
      <c r="J814" s="257"/>
      <c r="K814" s="257"/>
      <c r="L814" s="257"/>
      <c r="M814" s="257"/>
      <c r="N814" s="257"/>
      <c r="O814" s="257"/>
      <c r="P814" s="257"/>
      <c r="Q814" s="257"/>
      <c r="R814" s="257"/>
      <c r="S814" s="257"/>
      <c r="T814" s="257"/>
      <c r="U814" s="257"/>
      <c r="V814" s="257"/>
      <c r="W814" s="257"/>
      <c r="X814" s="257"/>
      <c r="Y814" s="257"/>
      <c r="Z814" s="257"/>
    </row>
    <row r="815" ht="14.25" customHeight="1">
      <c r="A815" s="257"/>
      <c r="B815" s="257"/>
      <c r="C815" s="257"/>
      <c r="D815" s="257"/>
      <c r="E815" s="257"/>
      <c r="F815" s="257"/>
      <c r="G815" s="257"/>
      <c r="H815" s="257"/>
      <c r="I815" s="257"/>
      <c r="J815" s="257"/>
      <c r="K815" s="257"/>
      <c r="L815" s="257"/>
      <c r="M815" s="257"/>
      <c r="N815" s="257"/>
      <c r="O815" s="257"/>
      <c r="P815" s="257"/>
      <c r="Q815" s="257"/>
      <c r="R815" s="257"/>
      <c r="S815" s="257"/>
      <c r="T815" s="257"/>
      <c r="U815" s="257"/>
      <c r="V815" s="257"/>
      <c r="W815" s="257"/>
      <c r="X815" s="257"/>
      <c r="Y815" s="257"/>
      <c r="Z815" s="257"/>
    </row>
    <row r="816" ht="14.25" customHeight="1">
      <c r="A816" s="257"/>
      <c r="B816" s="257"/>
      <c r="C816" s="257"/>
      <c r="D816" s="257"/>
      <c r="E816" s="257"/>
      <c r="F816" s="257"/>
      <c r="G816" s="257"/>
      <c r="H816" s="257"/>
      <c r="I816" s="257"/>
      <c r="J816" s="257"/>
      <c r="K816" s="257"/>
      <c r="L816" s="257"/>
      <c r="M816" s="257"/>
      <c r="N816" s="257"/>
      <c r="O816" s="257"/>
      <c r="P816" s="257"/>
      <c r="Q816" s="257"/>
      <c r="R816" s="257"/>
      <c r="S816" s="257"/>
      <c r="T816" s="257"/>
      <c r="U816" s="257"/>
      <c r="V816" s="257"/>
      <c r="W816" s="257"/>
      <c r="X816" s="257"/>
      <c r="Y816" s="257"/>
      <c r="Z816" s="257"/>
    </row>
    <row r="817" ht="14.25" customHeight="1">
      <c r="A817" s="257"/>
      <c r="B817" s="257"/>
      <c r="C817" s="257"/>
      <c r="D817" s="257"/>
      <c r="E817" s="257"/>
      <c r="F817" s="257"/>
      <c r="G817" s="257"/>
      <c r="H817" s="257"/>
      <c r="I817" s="257"/>
      <c r="J817" s="257"/>
      <c r="K817" s="257"/>
      <c r="L817" s="257"/>
      <c r="M817" s="257"/>
      <c r="N817" s="257"/>
      <c r="O817" s="257"/>
      <c r="P817" s="257"/>
      <c r="Q817" s="257"/>
      <c r="R817" s="257"/>
      <c r="S817" s="257"/>
      <c r="T817" s="257"/>
      <c r="U817" s="257"/>
      <c r="V817" s="257"/>
      <c r="W817" s="257"/>
      <c r="X817" s="257"/>
      <c r="Y817" s="257"/>
      <c r="Z817" s="257"/>
    </row>
    <row r="818" ht="14.25" customHeight="1">
      <c r="A818" s="257"/>
      <c r="B818" s="257"/>
      <c r="C818" s="257"/>
      <c r="D818" s="257"/>
      <c r="E818" s="257"/>
      <c r="F818" s="257"/>
      <c r="G818" s="257"/>
      <c r="H818" s="257"/>
      <c r="I818" s="257"/>
      <c r="J818" s="257"/>
      <c r="K818" s="257"/>
      <c r="L818" s="257"/>
      <c r="M818" s="257"/>
      <c r="N818" s="257"/>
      <c r="O818" s="257"/>
      <c r="P818" s="257"/>
      <c r="Q818" s="257"/>
      <c r="R818" s="257"/>
      <c r="S818" s="257"/>
      <c r="T818" s="257"/>
      <c r="U818" s="257"/>
      <c r="V818" s="257"/>
      <c r="W818" s="257"/>
      <c r="X818" s="257"/>
      <c r="Y818" s="257"/>
      <c r="Z818" s="257"/>
    </row>
    <row r="819" ht="14.25" customHeight="1">
      <c r="A819" s="257"/>
      <c r="B819" s="257"/>
      <c r="C819" s="257"/>
      <c r="D819" s="257"/>
      <c r="E819" s="257"/>
      <c r="F819" s="257"/>
      <c r="G819" s="257"/>
      <c r="H819" s="257"/>
      <c r="I819" s="257"/>
      <c r="J819" s="257"/>
      <c r="K819" s="257"/>
      <c r="L819" s="257"/>
      <c r="M819" s="257"/>
      <c r="N819" s="257"/>
      <c r="O819" s="257"/>
      <c r="P819" s="257"/>
      <c r="Q819" s="257"/>
      <c r="R819" s="257"/>
      <c r="S819" s="257"/>
      <c r="T819" s="257"/>
      <c r="U819" s="257"/>
      <c r="V819" s="257"/>
      <c r="W819" s="257"/>
      <c r="X819" s="257"/>
      <c r="Y819" s="257"/>
      <c r="Z819" s="257"/>
    </row>
    <row r="820" ht="14.25" customHeight="1">
      <c r="A820" s="257"/>
      <c r="B820" s="257"/>
      <c r="C820" s="257"/>
      <c r="D820" s="257"/>
      <c r="E820" s="257"/>
      <c r="F820" s="257"/>
      <c r="G820" s="257"/>
      <c r="H820" s="257"/>
      <c r="I820" s="257"/>
      <c r="J820" s="257"/>
      <c r="K820" s="257"/>
      <c r="L820" s="257"/>
      <c r="M820" s="257"/>
      <c r="N820" s="257"/>
      <c r="O820" s="257"/>
      <c r="P820" s="257"/>
      <c r="Q820" s="257"/>
      <c r="R820" s="257"/>
      <c r="S820" s="257"/>
      <c r="T820" s="257"/>
      <c r="U820" s="257"/>
      <c r="V820" s="257"/>
      <c r="W820" s="257"/>
      <c r="X820" s="257"/>
      <c r="Y820" s="257"/>
      <c r="Z820" s="257"/>
    </row>
    <row r="821" ht="14.25" customHeight="1">
      <c r="A821" s="257"/>
      <c r="B821" s="257"/>
      <c r="C821" s="257"/>
      <c r="D821" s="257"/>
      <c r="E821" s="257"/>
      <c r="F821" s="257"/>
      <c r="G821" s="257"/>
      <c r="H821" s="257"/>
      <c r="I821" s="257"/>
      <c r="J821" s="257"/>
      <c r="K821" s="257"/>
      <c r="L821" s="257"/>
      <c r="M821" s="257"/>
      <c r="N821" s="257"/>
      <c r="O821" s="257"/>
      <c r="P821" s="257"/>
      <c r="Q821" s="257"/>
      <c r="R821" s="257"/>
      <c r="S821" s="257"/>
      <c r="T821" s="257"/>
      <c r="U821" s="257"/>
      <c r="V821" s="257"/>
      <c r="W821" s="257"/>
      <c r="X821" s="257"/>
      <c r="Y821" s="257"/>
      <c r="Z821" s="257"/>
    </row>
    <row r="822" ht="14.25" customHeight="1">
      <c r="A822" s="257"/>
      <c r="B822" s="257"/>
      <c r="C822" s="257"/>
      <c r="D822" s="257"/>
      <c r="E822" s="257"/>
      <c r="F822" s="257"/>
      <c r="G822" s="257"/>
      <c r="H822" s="257"/>
      <c r="I822" s="257"/>
      <c r="J822" s="257"/>
      <c r="K822" s="257"/>
      <c r="L822" s="257"/>
      <c r="M822" s="257"/>
      <c r="N822" s="257"/>
      <c r="O822" s="257"/>
      <c r="P822" s="257"/>
      <c r="Q822" s="257"/>
      <c r="R822" s="257"/>
      <c r="S822" s="257"/>
      <c r="T822" s="257"/>
      <c r="U822" s="257"/>
      <c r="V822" s="257"/>
      <c r="W822" s="257"/>
      <c r="X822" s="257"/>
      <c r="Y822" s="257"/>
      <c r="Z822" s="257"/>
    </row>
    <row r="823" ht="14.25" customHeight="1">
      <c r="A823" s="257"/>
      <c r="B823" s="257"/>
      <c r="C823" s="257"/>
      <c r="D823" s="257"/>
      <c r="E823" s="257"/>
      <c r="F823" s="257"/>
      <c r="G823" s="257"/>
      <c r="H823" s="257"/>
      <c r="I823" s="257"/>
      <c r="J823" s="257"/>
      <c r="K823" s="257"/>
      <c r="L823" s="257"/>
      <c r="M823" s="257"/>
      <c r="N823" s="257"/>
      <c r="O823" s="257"/>
      <c r="P823" s="257"/>
      <c r="Q823" s="257"/>
      <c r="R823" s="257"/>
      <c r="S823" s="257"/>
      <c r="T823" s="257"/>
      <c r="U823" s="257"/>
      <c r="V823" s="257"/>
      <c r="W823" s="257"/>
      <c r="X823" s="257"/>
      <c r="Y823" s="257"/>
      <c r="Z823" s="257"/>
    </row>
    <row r="824" ht="14.25" customHeight="1">
      <c r="A824" s="257"/>
      <c r="B824" s="257"/>
      <c r="C824" s="257"/>
      <c r="D824" s="257"/>
      <c r="E824" s="257"/>
      <c r="F824" s="257"/>
      <c r="G824" s="257"/>
      <c r="H824" s="257"/>
      <c r="I824" s="257"/>
      <c r="J824" s="257"/>
      <c r="K824" s="257"/>
      <c r="L824" s="257"/>
      <c r="M824" s="257"/>
      <c r="N824" s="257"/>
      <c r="O824" s="257"/>
      <c r="P824" s="257"/>
      <c r="Q824" s="257"/>
      <c r="R824" s="257"/>
      <c r="S824" s="257"/>
      <c r="T824" s="257"/>
      <c r="U824" s="257"/>
      <c r="V824" s="257"/>
      <c r="W824" s="257"/>
      <c r="X824" s="257"/>
      <c r="Y824" s="257"/>
      <c r="Z824" s="257"/>
    </row>
    <row r="825" ht="14.25" customHeight="1">
      <c r="A825" s="257"/>
      <c r="B825" s="257"/>
      <c r="C825" s="257"/>
      <c r="D825" s="257"/>
      <c r="E825" s="257"/>
      <c r="F825" s="257"/>
      <c r="G825" s="257"/>
      <c r="H825" s="257"/>
      <c r="I825" s="257"/>
      <c r="J825" s="257"/>
      <c r="K825" s="257"/>
      <c r="L825" s="257"/>
      <c r="M825" s="257"/>
      <c r="N825" s="257"/>
      <c r="O825" s="257"/>
      <c r="P825" s="257"/>
      <c r="Q825" s="257"/>
      <c r="R825" s="257"/>
      <c r="S825" s="257"/>
      <c r="T825" s="257"/>
      <c r="U825" s="257"/>
      <c r="V825" s="257"/>
      <c r="W825" s="257"/>
      <c r="X825" s="257"/>
      <c r="Y825" s="257"/>
      <c r="Z825" s="257"/>
    </row>
    <row r="826" ht="14.25" customHeight="1">
      <c r="A826" s="257"/>
      <c r="B826" s="257"/>
      <c r="C826" s="257"/>
      <c r="D826" s="257"/>
      <c r="E826" s="257"/>
      <c r="F826" s="257"/>
      <c r="G826" s="257"/>
      <c r="H826" s="257"/>
      <c r="I826" s="257"/>
      <c r="J826" s="257"/>
      <c r="K826" s="257"/>
      <c r="L826" s="257"/>
      <c r="M826" s="257"/>
      <c r="N826" s="257"/>
      <c r="O826" s="257"/>
      <c r="P826" s="257"/>
      <c r="Q826" s="257"/>
      <c r="R826" s="257"/>
      <c r="S826" s="257"/>
      <c r="T826" s="257"/>
      <c r="U826" s="257"/>
      <c r="V826" s="257"/>
      <c r="W826" s="257"/>
      <c r="X826" s="257"/>
      <c r="Y826" s="257"/>
      <c r="Z826" s="257"/>
    </row>
    <row r="827" ht="14.25" customHeight="1">
      <c r="A827" s="257"/>
      <c r="B827" s="257"/>
      <c r="C827" s="257"/>
      <c r="D827" s="257"/>
      <c r="E827" s="257"/>
      <c r="F827" s="257"/>
      <c r="G827" s="257"/>
      <c r="H827" s="257"/>
      <c r="I827" s="257"/>
      <c r="J827" s="257"/>
      <c r="K827" s="257"/>
      <c r="L827" s="257"/>
      <c r="M827" s="257"/>
      <c r="N827" s="257"/>
      <c r="O827" s="257"/>
      <c r="P827" s="257"/>
      <c r="Q827" s="257"/>
      <c r="R827" s="257"/>
      <c r="S827" s="257"/>
      <c r="T827" s="257"/>
      <c r="U827" s="257"/>
      <c r="V827" s="257"/>
      <c r="W827" s="257"/>
      <c r="X827" s="257"/>
      <c r="Y827" s="257"/>
      <c r="Z827" s="257"/>
    </row>
    <row r="828" ht="14.25" customHeight="1">
      <c r="A828" s="257"/>
      <c r="B828" s="257"/>
      <c r="C828" s="257"/>
      <c r="D828" s="257"/>
      <c r="E828" s="257"/>
      <c r="F828" s="257"/>
      <c r="G828" s="257"/>
      <c r="H828" s="257"/>
      <c r="I828" s="257"/>
      <c r="J828" s="257"/>
      <c r="K828" s="257"/>
      <c r="L828" s="257"/>
      <c r="M828" s="257"/>
      <c r="N828" s="257"/>
      <c r="O828" s="257"/>
      <c r="P828" s="257"/>
      <c r="Q828" s="257"/>
      <c r="R828" s="257"/>
      <c r="S828" s="257"/>
      <c r="T828" s="257"/>
      <c r="U828" s="257"/>
      <c r="V828" s="257"/>
      <c r="W828" s="257"/>
      <c r="X828" s="257"/>
      <c r="Y828" s="257"/>
      <c r="Z828" s="257"/>
    </row>
    <row r="829" ht="14.25" customHeight="1">
      <c r="A829" s="257"/>
      <c r="B829" s="257"/>
      <c r="C829" s="257"/>
      <c r="D829" s="257"/>
      <c r="E829" s="257"/>
      <c r="F829" s="257"/>
      <c r="G829" s="257"/>
      <c r="H829" s="257"/>
      <c r="I829" s="257"/>
      <c r="J829" s="257"/>
      <c r="K829" s="257"/>
      <c r="L829" s="257"/>
      <c r="M829" s="257"/>
      <c r="N829" s="257"/>
      <c r="O829" s="257"/>
      <c r="P829" s="257"/>
      <c r="Q829" s="257"/>
      <c r="R829" s="257"/>
      <c r="S829" s="257"/>
      <c r="T829" s="257"/>
      <c r="U829" s="257"/>
      <c r="V829" s="257"/>
      <c r="W829" s="257"/>
      <c r="X829" s="257"/>
      <c r="Y829" s="257"/>
      <c r="Z829" s="257"/>
    </row>
    <row r="830" ht="14.25" customHeight="1">
      <c r="A830" s="257"/>
      <c r="B830" s="257"/>
      <c r="C830" s="257"/>
      <c r="D830" s="257"/>
      <c r="E830" s="257"/>
      <c r="F830" s="257"/>
      <c r="G830" s="257"/>
      <c r="H830" s="257"/>
      <c r="I830" s="257"/>
      <c r="J830" s="257"/>
      <c r="K830" s="257"/>
      <c r="L830" s="257"/>
      <c r="M830" s="257"/>
      <c r="N830" s="257"/>
      <c r="O830" s="257"/>
      <c r="P830" s="257"/>
      <c r="Q830" s="257"/>
      <c r="R830" s="257"/>
      <c r="S830" s="257"/>
      <c r="T830" s="257"/>
      <c r="U830" s="257"/>
      <c r="V830" s="257"/>
      <c r="W830" s="257"/>
      <c r="X830" s="257"/>
      <c r="Y830" s="257"/>
      <c r="Z830" s="257"/>
    </row>
    <row r="831" ht="14.25" customHeight="1">
      <c r="A831" s="257"/>
      <c r="B831" s="257"/>
      <c r="C831" s="257"/>
      <c r="D831" s="257"/>
      <c r="E831" s="257"/>
      <c r="F831" s="257"/>
      <c r="G831" s="257"/>
      <c r="H831" s="257"/>
      <c r="I831" s="257"/>
      <c r="J831" s="257"/>
      <c r="K831" s="257"/>
      <c r="L831" s="257"/>
      <c r="M831" s="257"/>
      <c r="N831" s="257"/>
      <c r="O831" s="257"/>
      <c r="P831" s="257"/>
      <c r="Q831" s="257"/>
      <c r="R831" s="257"/>
      <c r="S831" s="257"/>
      <c r="T831" s="257"/>
      <c r="U831" s="257"/>
      <c r="V831" s="257"/>
      <c r="W831" s="257"/>
      <c r="X831" s="257"/>
      <c r="Y831" s="257"/>
      <c r="Z831" s="257"/>
    </row>
    <row r="832" ht="14.25" customHeight="1">
      <c r="A832" s="257"/>
      <c r="B832" s="257"/>
      <c r="C832" s="257"/>
      <c r="D832" s="257"/>
      <c r="E832" s="257"/>
      <c r="F832" s="257"/>
      <c r="G832" s="257"/>
      <c r="H832" s="257"/>
      <c r="I832" s="257"/>
      <c r="J832" s="257"/>
      <c r="K832" s="257"/>
      <c r="L832" s="257"/>
      <c r="M832" s="257"/>
      <c r="N832" s="257"/>
      <c r="O832" s="257"/>
      <c r="P832" s="257"/>
      <c r="Q832" s="257"/>
      <c r="R832" s="257"/>
      <c r="S832" s="257"/>
      <c r="T832" s="257"/>
      <c r="U832" s="257"/>
      <c r="V832" s="257"/>
      <c r="W832" s="257"/>
      <c r="X832" s="257"/>
      <c r="Y832" s="257"/>
      <c r="Z832" s="257"/>
    </row>
    <row r="833" ht="14.25" customHeight="1">
      <c r="A833" s="257"/>
      <c r="B833" s="257"/>
      <c r="C833" s="257"/>
      <c r="D833" s="257"/>
      <c r="E833" s="257"/>
      <c r="F833" s="257"/>
      <c r="G833" s="257"/>
      <c r="H833" s="257"/>
      <c r="I833" s="257"/>
      <c r="J833" s="257"/>
      <c r="K833" s="257"/>
      <c r="L833" s="257"/>
      <c r="M833" s="257"/>
      <c r="N833" s="257"/>
      <c r="O833" s="257"/>
      <c r="P833" s="257"/>
      <c r="Q833" s="257"/>
      <c r="R833" s="257"/>
      <c r="S833" s="257"/>
      <c r="T833" s="257"/>
      <c r="U833" s="257"/>
      <c r="V833" s="257"/>
      <c r="W833" s="257"/>
      <c r="X833" s="257"/>
      <c r="Y833" s="257"/>
      <c r="Z833" s="257"/>
    </row>
    <row r="834" ht="14.25" customHeight="1">
      <c r="A834" s="257"/>
      <c r="B834" s="257"/>
      <c r="C834" s="257"/>
      <c r="D834" s="257"/>
      <c r="E834" s="257"/>
      <c r="F834" s="257"/>
      <c r="G834" s="257"/>
      <c r="H834" s="257"/>
      <c r="I834" s="257"/>
      <c r="J834" s="257"/>
      <c r="K834" s="257"/>
      <c r="L834" s="257"/>
      <c r="M834" s="257"/>
      <c r="N834" s="257"/>
      <c r="O834" s="257"/>
      <c r="P834" s="257"/>
      <c r="Q834" s="257"/>
      <c r="R834" s="257"/>
      <c r="S834" s="257"/>
      <c r="T834" s="257"/>
      <c r="U834" s="257"/>
      <c r="V834" s="257"/>
      <c r="W834" s="257"/>
      <c r="X834" s="257"/>
      <c r="Y834" s="257"/>
      <c r="Z834" s="257"/>
    </row>
    <row r="835" ht="14.25" customHeight="1">
      <c r="A835" s="257"/>
      <c r="B835" s="257"/>
      <c r="C835" s="257"/>
      <c r="D835" s="257"/>
      <c r="E835" s="257"/>
      <c r="F835" s="257"/>
      <c r="G835" s="257"/>
      <c r="H835" s="257"/>
      <c r="I835" s="257"/>
      <c r="J835" s="257"/>
      <c r="K835" s="257"/>
      <c r="L835" s="257"/>
      <c r="M835" s="257"/>
      <c r="N835" s="257"/>
      <c r="O835" s="257"/>
      <c r="P835" s="257"/>
      <c r="Q835" s="257"/>
      <c r="R835" s="257"/>
      <c r="S835" s="257"/>
      <c r="T835" s="257"/>
      <c r="U835" s="257"/>
      <c r="V835" s="257"/>
      <c r="W835" s="257"/>
      <c r="X835" s="257"/>
      <c r="Y835" s="257"/>
      <c r="Z835" s="257"/>
    </row>
    <row r="836" ht="14.25" customHeight="1">
      <c r="A836" s="257"/>
      <c r="B836" s="257"/>
      <c r="C836" s="257"/>
      <c r="D836" s="257"/>
      <c r="E836" s="257"/>
      <c r="F836" s="257"/>
      <c r="G836" s="257"/>
      <c r="H836" s="257"/>
      <c r="I836" s="257"/>
      <c r="J836" s="257"/>
      <c r="K836" s="257"/>
      <c r="L836" s="257"/>
      <c r="M836" s="257"/>
      <c r="N836" s="257"/>
      <c r="O836" s="257"/>
      <c r="P836" s="257"/>
      <c r="Q836" s="257"/>
      <c r="R836" s="257"/>
      <c r="S836" s="257"/>
      <c r="T836" s="257"/>
      <c r="U836" s="257"/>
      <c r="V836" s="257"/>
      <c r="W836" s="257"/>
      <c r="X836" s="257"/>
      <c r="Y836" s="257"/>
      <c r="Z836" s="257"/>
    </row>
    <row r="837" ht="14.25" customHeight="1">
      <c r="A837" s="257"/>
      <c r="B837" s="257"/>
      <c r="C837" s="257"/>
      <c r="D837" s="257"/>
      <c r="E837" s="257"/>
      <c r="F837" s="257"/>
      <c r="G837" s="257"/>
      <c r="H837" s="257"/>
      <c r="I837" s="257"/>
      <c r="J837" s="257"/>
      <c r="K837" s="257"/>
      <c r="L837" s="257"/>
      <c r="M837" s="257"/>
      <c r="N837" s="257"/>
      <c r="O837" s="257"/>
      <c r="P837" s="257"/>
      <c r="Q837" s="257"/>
      <c r="R837" s="257"/>
      <c r="S837" s="257"/>
      <c r="T837" s="257"/>
      <c r="U837" s="257"/>
      <c r="V837" s="257"/>
      <c r="W837" s="257"/>
      <c r="X837" s="257"/>
      <c r="Y837" s="257"/>
      <c r="Z837" s="257"/>
    </row>
    <row r="838" ht="14.25" customHeight="1">
      <c r="A838" s="257"/>
      <c r="B838" s="257"/>
      <c r="C838" s="257"/>
      <c r="D838" s="257"/>
      <c r="E838" s="257"/>
      <c r="F838" s="257"/>
      <c r="G838" s="257"/>
      <c r="H838" s="257"/>
      <c r="I838" s="257"/>
      <c r="J838" s="257"/>
      <c r="K838" s="257"/>
      <c r="L838" s="257"/>
      <c r="M838" s="257"/>
      <c r="N838" s="257"/>
      <c r="O838" s="257"/>
      <c r="P838" s="257"/>
      <c r="Q838" s="257"/>
      <c r="R838" s="257"/>
      <c r="S838" s="257"/>
      <c r="T838" s="257"/>
      <c r="U838" s="257"/>
      <c r="V838" s="257"/>
      <c r="W838" s="257"/>
      <c r="X838" s="257"/>
      <c r="Y838" s="257"/>
      <c r="Z838" s="257"/>
    </row>
    <row r="839" ht="14.25" customHeight="1">
      <c r="A839" s="257"/>
      <c r="B839" s="257"/>
      <c r="C839" s="257"/>
      <c r="D839" s="257"/>
      <c r="E839" s="257"/>
      <c r="F839" s="257"/>
      <c r="G839" s="257"/>
      <c r="H839" s="257"/>
      <c r="I839" s="257"/>
      <c r="J839" s="257"/>
      <c r="K839" s="257"/>
      <c r="L839" s="257"/>
      <c r="M839" s="257"/>
      <c r="N839" s="257"/>
      <c r="O839" s="257"/>
      <c r="P839" s="257"/>
      <c r="Q839" s="257"/>
      <c r="R839" s="257"/>
      <c r="S839" s="257"/>
      <c r="T839" s="257"/>
      <c r="U839" s="257"/>
      <c r="V839" s="257"/>
      <c r="W839" s="257"/>
      <c r="X839" s="257"/>
      <c r="Y839" s="257"/>
      <c r="Z839" s="257"/>
    </row>
    <row r="840" ht="14.25" customHeight="1">
      <c r="A840" s="257"/>
      <c r="B840" s="257"/>
      <c r="C840" s="257"/>
      <c r="D840" s="257"/>
      <c r="E840" s="257"/>
      <c r="F840" s="257"/>
      <c r="G840" s="257"/>
      <c r="H840" s="257"/>
      <c r="I840" s="257"/>
      <c r="J840" s="257"/>
      <c r="K840" s="257"/>
      <c r="L840" s="257"/>
      <c r="M840" s="257"/>
      <c r="N840" s="257"/>
      <c r="O840" s="257"/>
      <c r="P840" s="257"/>
      <c r="Q840" s="257"/>
      <c r="R840" s="257"/>
      <c r="S840" s="257"/>
      <c r="T840" s="257"/>
      <c r="U840" s="257"/>
      <c r="V840" s="257"/>
      <c r="W840" s="257"/>
      <c r="X840" s="257"/>
      <c r="Y840" s="257"/>
      <c r="Z840" s="257"/>
    </row>
    <row r="841" ht="14.25" customHeight="1">
      <c r="A841" s="257"/>
      <c r="B841" s="257"/>
      <c r="C841" s="257"/>
      <c r="D841" s="257"/>
      <c r="E841" s="257"/>
      <c r="F841" s="257"/>
      <c r="G841" s="257"/>
      <c r="H841" s="257"/>
      <c r="I841" s="257"/>
      <c r="J841" s="257"/>
      <c r="K841" s="257"/>
      <c r="L841" s="257"/>
      <c r="M841" s="257"/>
      <c r="N841" s="257"/>
      <c r="O841" s="257"/>
      <c r="P841" s="257"/>
      <c r="Q841" s="257"/>
      <c r="R841" s="257"/>
      <c r="S841" s="257"/>
      <c r="T841" s="257"/>
      <c r="U841" s="257"/>
      <c r="V841" s="257"/>
      <c r="W841" s="257"/>
      <c r="X841" s="257"/>
      <c r="Y841" s="257"/>
      <c r="Z841" s="257"/>
    </row>
    <row r="842" ht="14.25" customHeight="1">
      <c r="A842" s="257"/>
      <c r="B842" s="257"/>
      <c r="C842" s="257"/>
      <c r="D842" s="257"/>
      <c r="E842" s="257"/>
      <c r="F842" s="257"/>
      <c r="G842" s="257"/>
      <c r="H842" s="257"/>
      <c r="I842" s="257"/>
      <c r="J842" s="257"/>
      <c r="K842" s="257"/>
      <c r="L842" s="257"/>
      <c r="M842" s="257"/>
      <c r="N842" s="257"/>
      <c r="O842" s="257"/>
      <c r="P842" s="257"/>
      <c r="Q842" s="257"/>
      <c r="R842" s="257"/>
      <c r="S842" s="257"/>
      <c r="T842" s="257"/>
      <c r="U842" s="257"/>
      <c r="V842" s="257"/>
      <c r="W842" s="257"/>
      <c r="X842" s="257"/>
      <c r="Y842" s="257"/>
      <c r="Z842" s="257"/>
    </row>
    <row r="843" ht="14.25" customHeight="1">
      <c r="A843" s="257"/>
      <c r="B843" s="257"/>
      <c r="C843" s="257"/>
      <c r="D843" s="257"/>
      <c r="E843" s="257"/>
      <c r="F843" s="257"/>
      <c r="G843" s="257"/>
      <c r="H843" s="257"/>
      <c r="I843" s="257"/>
      <c r="J843" s="257"/>
      <c r="K843" s="257"/>
      <c r="L843" s="257"/>
      <c r="M843" s="257"/>
      <c r="N843" s="257"/>
      <c r="O843" s="257"/>
      <c r="P843" s="257"/>
      <c r="Q843" s="257"/>
      <c r="R843" s="257"/>
      <c r="S843" s="257"/>
      <c r="T843" s="257"/>
      <c r="U843" s="257"/>
      <c r="V843" s="257"/>
      <c r="W843" s="257"/>
      <c r="X843" s="257"/>
      <c r="Y843" s="257"/>
      <c r="Z843" s="257"/>
    </row>
    <row r="844" ht="14.25" customHeight="1">
      <c r="A844" s="257"/>
      <c r="B844" s="257"/>
      <c r="C844" s="257"/>
      <c r="D844" s="257"/>
      <c r="E844" s="257"/>
      <c r="F844" s="257"/>
      <c r="G844" s="257"/>
      <c r="H844" s="257"/>
      <c r="I844" s="257"/>
      <c r="J844" s="257"/>
      <c r="K844" s="257"/>
      <c r="L844" s="257"/>
      <c r="M844" s="257"/>
      <c r="N844" s="257"/>
      <c r="O844" s="257"/>
      <c r="P844" s="257"/>
      <c r="Q844" s="257"/>
      <c r="R844" s="257"/>
      <c r="S844" s="257"/>
      <c r="T844" s="257"/>
      <c r="U844" s="257"/>
      <c r="V844" s="257"/>
      <c r="W844" s="257"/>
      <c r="X844" s="257"/>
      <c r="Y844" s="257"/>
      <c r="Z844" s="257"/>
    </row>
    <row r="845" ht="14.25" customHeight="1">
      <c r="A845" s="257"/>
      <c r="B845" s="257"/>
      <c r="C845" s="257"/>
      <c r="D845" s="257"/>
      <c r="E845" s="257"/>
      <c r="F845" s="257"/>
      <c r="G845" s="257"/>
      <c r="H845" s="257"/>
      <c r="I845" s="257"/>
      <c r="J845" s="257"/>
      <c r="K845" s="257"/>
      <c r="L845" s="257"/>
      <c r="M845" s="257"/>
      <c r="N845" s="257"/>
      <c r="O845" s="257"/>
      <c r="P845" s="257"/>
      <c r="Q845" s="257"/>
      <c r="R845" s="257"/>
      <c r="S845" s="257"/>
      <c r="T845" s="257"/>
      <c r="U845" s="257"/>
      <c r="V845" s="257"/>
      <c r="W845" s="257"/>
      <c r="X845" s="257"/>
      <c r="Y845" s="257"/>
      <c r="Z845" s="257"/>
    </row>
    <row r="846" ht="14.25" customHeight="1">
      <c r="A846" s="257"/>
      <c r="B846" s="257"/>
      <c r="C846" s="257"/>
      <c r="D846" s="257"/>
      <c r="E846" s="257"/>
      <c r="F846" s="257"/>
      <c r="G846" s="257"/>
      <c r="H846" s="257"/>
      <c r="I846" s="257"/>
      <c r="J846" s="257"/>
      <c r="K846" s="257"/>
      <c r="L846" s="257"/>
      <c r="M846" s="257"/>
      <c r="N846" s="257"/>
      <c r="O846" s="257"/>
      <c r="P846" s="257"/>
      <c r="Q846" s="257"/>
      <c r="R846" s="257"/>
      <c r="S846" s="257"/>
      <c r="T846" s="257"/>
      <c r="U846" s="257"/>
      <c r="V846" s="257"/>
      <c r="W846" s="257"/>
      <c r="X846" s="257"/>
      <c r="Y846" s="257"/>
      <c r="Z846" s="257"/>
    </row>
    <row r="847" ht="14.25" customHeight="1">
      <c r="A847" s="257"/>
      <c r="B847" s="257"/>
      <c r="C847" s="257"/>
      <c r="D847" s="257"/>
      <c r="E847" s="257"/>
      <c r="F847" s="257"/>
      <c r="G847" s="257"/>
      <c r="H847" s="257"/>
      <c r="I847" s="257"/>
      <c r="J847" s="257"/>
      <c r="K847" s="257"/>
      <c r="L847" s="257"/>
      <c r="M847" s="257"/>
      <c r="N847" s="257"/>
      <c r="O847" s="257"/>
      <c r="P847" s="257"/>
      <c r="Q847" s="257"/>
      <c r="R847" s="257"/>
      <c r="S847" s="257"/>
      <c r="T847" s="257"/>
      <c r="U847" s="257"/>
      <c r="V847" s="257"/>
      <c r="W847" s="257"/>
      <c r="X847" s="257"/>
      <c r="Y847" s="257"/>
      <c r="Z847" s="257"/>
    </row>
    <row r="848" ht="14.25" customHeight="1">
      <c r="A848" s="257"/>
      <c r="B848" s="257"/>
      <c r="C848" s="257"/>
      <c r="D848" s="257"/>
      <c r="E848" s="257"/>
      <c r="F848" s="257"/>
      <c r="G848" s="257"/>
      <c r="H848" s="257"/>
      <c r="I848" s="257"/>
      <c r="J848" s="257"/>
      <c r="K848" s="257"/>
      <c r="L848" s="257"/>
      <c r="M848" s="257"/>
      <c r="N848" s="257"/>
      <c r="O848" s="257"/>
      <c r="P848" s="257"/>
      <c r="Q848" s="257"/>
      <c r="R848" s="257"/>
      <c r="S848" s="257"/>
      <c r="T848" s="257"/>
      <c r="U848" s="257"/>
      <c r="V848" s="257"/>
      <c r="W848" s="257"/>
      <c r="X848" s="257"/>
      <c r="Y848" s="257"/>
      <c r="Z848" s="257"/>
    </row>
    <row r="849" ht="14.25" customHeight="1">
      <c r="A849" s="257"/>
      <c r="B849" s="257"/>
      <c r="C849" s="257"/>
      <c r="D849" s="257"/>
      <c r="E849" s="257"/>
      <c r="F849" s="257"/>
      <c r="G849" s="257"/>
      <c r="H849" s="257"/>
      <c r="I849" s="257"/>
      <c r="J849" s="257"/>
      <c r="K849" s="257"/>
      <c r="L849" s="257"/>
      <c r="M849" s="257"/>
      <c r="N849" s="257"/>
      <c r="O849" s="257"/>
      <c r="P849" s="257"/>
      <c r="Q849" s="257"/>
      <c r="R849" s="257"/>
      <c r="S849" s="257"/>
      <c r="T849" s="257"/>
      <c r="U849" s="257"/>
      <c r="V849" s="257"/>
      <c r="W849" s="257"/>
      <c r="X849" s="257"/>
      <c r="Y849" s="257"/>
      <c r="Z849" s="257"/>
    </row>
    <row r="850" ht="14.25" customHeight="1">
      <c r="A850" s="257"/>
      <c r="B850" s="257"/>
      <c r="C850" s="257"/>
      <c r="D850" s="257"/>
      <c r="E850" s="257"/>
      <c r="F850" s="257"/>
      <c r="G850" s="257"/>
      <c r="H850" s="257"/>
      <c r="I850" s="257"/>
      <c r="J850" s="257"/>
      <c r="K850" s="257"/>
      <c r="L850" s="257"/>
      <c r="M850" s="257"/>
      <c r="N850" s="257"/>
      <c r="O850" s="257"/>
      <c r="P850" s="257"/>
      <c r="Q850" s="257"/>
      <c r="R850" s="257"/>
      <c r="S850" s="257"/>
      <c r="T850" s="257"/>
      <c r="U850" s="257"/>
      <c r="V850" s="257"/>
      <c r="W850" s="257"/>
      <c r="X850" s="257"/>
      <c r="Y850" s="257"/>
      <c r="Z850" s="257"/>
    </row>
    <row r="851" ht="14.25" customHeight="1">
      <c r="A851" s="257"/>
      <c r="B851" s="257"/>
      <c r="C851" s="257"/>
      <c r="D851" s="257"/>
      <c r="E851" s="257"/>
      <c r="F851" s="257"/>
      <c r="G851" s="257"/>
      <c r="H851" s="257"/>
      <c r="I851" s="257"/>
      <c r="J851" s="257"/>
      <c r="K851" s="257"/>
      <c r="L851" s="257"/>
      <c r="M851" s="257"/>
      <c r="N851" s="257"/>
      <c r="O851" s="257"/>
      <c r="P851" s="257"/>
      <c r="Q851" s="257"/>
      <c r="R851" s="257"/>
      <c r="S851" s="257"/>
      <c r="T851" s="257"/>
      <c r="U851" s="257"/>
      <c r="V851" s="257"/>
      <c r="W851" s="257"/>
      <c r="X851" s="257"/>
      <c r="Y851" s="257"/>
      <c r="Z851" s="257"/>
    </row>
    <row r="852" ht="14.25" customHeight="1">
      <c r="A852" s="257"/>
      <c r="B852" s="257"/>
      <c r="C852" s="257"/>
      <c r="D852" s="257"/>
      <c r="E852" s="257"/>
      <c r="F852" s="257"/>
      <c r="G852" s="257"/>
      <c r="H852" s="257"/>
      <c r="I852" s="257"/>
      <c r="J852" s="257"/>
      <c r="K852" s="257"/>
      <c r="L852" s="257"/>
      <c r="M852" s="257"/>
      <c r="N852" s="257"/>
      <c r="O852" s="257"/>
      <c r="P852" s="257"/>
      <c r="Q852" s="257"/>
      <c r="R852" s="257"/>
      <c r="S852" s="257"/>
      <c r="T852" s="257"/>
      <c r="U852" s="257"/>
      <c r="V852" s="257"/>
      <c r="W852" s="257"/>
      <c r="X852" s="257"/>
      <c r="Y852" s="257"/>
      <c r="Z852" s="257"/>
    </row>
    <row r="853" ht="14.25" customHeight="1">
      <c r="A853" s="257"/>
      <c r="B853" s="257"/>
      <c r="C853" s="257"/>
      <c r="D853" s="257"/>
      <c r="E853" s="257"/>
      <c r="F853" s="257"/>
      <c r="G853" s="257"/>
      <c r="H853" s="257"/>
      <c r="I853" s="257"/>
      <c r="J853" s="257"/>
      <c r="K853" s="257"/>
      <c r="L853" s="257"/>
      <c r="M853" s="257"/>
      <c r="N853" s="257"/>
      <c r="O853" s="257"/>
      <c r="P853" s="257"/>
      <c r="Q853" s="257"/>
      <c r="R853" s="257"/>
      <c r="S853" s="257"/>
      <c r="T853" s="257"/>
      <c r="U853" s="257"/>
      <c r="V853" s="257"/>
      <c r="W853" s="257"/>
      <c r="X853" s="257"/>
      <c r="Y853" s="257"/>
      <c r="Z853" s="257"/>
    </row>
    <row r="854" ht="14.25" customHeight="1">
      <c r="A854" s="257"/>
      <c r="B854" s="257"/>
      <c r="C854" s="257"/>
      <c r="D854" s="257"/>
      <c r="E854" s="257"/>
      <c r="F854" s="257"/>
      <c r="G854" s="257"/>
      <c r="H854" s="257"/>
      <c r="I854" s="257"/>
      <c r="J854" s="257"/>
      <c r="K854" s="257"/>
      <c r="L854" s="257"/>
      <c r="M854" s="257"/>
      <c r="N854" s="257"/>
      <c r="O854" s="257"/>
      <c r="P854" s="257"/>
      <c r="Q854" s="257"/>
      <c r="R854" s="257"/>
      <c r="S854" s="257"/>
      <c r="T854" s="257"/>
      <c r="U854" s="257"/>
      <c r="V854" s="257"/>
      <c r="W854" s="257"/>
      <c r="X854" s="257"/>
      <c r="Y854" s="257"/>
      <c r="Z854" s="257"/>
    </row>
    <row r="855" ht="14.25" customHeight="1">
      <c r="A855" s="257"/>
      <c r="B855" s="257"/>
      <c r="C855" s="257"/>
      <c r="D855" s="257"/>
      <c r="E855" s="257"/>
      <c r="F855" s="257"/>
      <c r="G855" s="257"/>
      <c r="H855" s="257"/>
      <c r="I855" s="257"/>
      <c r="J855" s="257"/>
      <c r="K855" s="257"/>
      <c r="L855" s="257"/>
      <c r="M855" s="257"/>
      <c r="N855" s="257"/>
      <c r="O855" s="257"/>
      <c r="P855" s="257"/>
      <c r="Q855" s="257"/>
      <c r="R855" s="257"/>
      <c r="S855" s="257"/>
      <c r="T855" s="257"/>
      <c r="U855" s="257"/>
      <c r="V855" s="257"/>
      <c r="W855" s="257"/>
      <c r="X855" s="257"/>
      <c r="Y855" s="257"/>
      <c r="Z855" s="257"/>
    </row>
    <row r="856" ht="14.25" customHeight="1">
      <c r="A856" s="257"/>
      <c r="B856" s="257"/>
      <c r="C856" s="257"/>
      <c r="D856" s="257"/>
      <c r="E856" s="257"/>
      <c r="F856" s="257"/>
      <c r="G856" s="257"/>
      <c r="H856" s="257"/>
      <c r="I856" s="257"/>
      <c r="J856" s="257"/>
      <c r="K856" s="257"/>
      <c r="L856" s="257"/>
      <c r="M856" s="257"/>
      <c r="N856" s="257"/>
      <c r="O856" s="257"/>
      <c r="P856" s="257"/>
      <c r="Q856" s="257"/>
      <c r="R856" s="257"/>
      <c r="S856" s="257"/>
      <c r="T856" s="257"/>
      <c r="U856" s="257"/>
      <c r="V856" s="257"/>
      <c r="W856" s="257"/>
      <c r="X856" s="257"/>
      <c r="Y856" s="257"/>
      <c r="Z856" s="257"/>
    </row>
    <row r="857" ht="14.25" customHeight="1">
      <c r="A857" s="257"/>
      <c r="B857" s="257"/>
      <c r="C857" s="257"/>
      <c r="D857" s="257"/>
      <c r="E857" s="257"/>
      <c r="F857" s="257"/>
      <c r="G857" s="257"/>
      <c r="H857" s="257"/>
      <c r="I857" s="257"/>
      <c r="J857" s="257"/>
      <c r="K857" s="257"/>
      <c r="L857" s="257"/>
      <c r="M857" s="257"/>
      <c r="N857" s="257"/>
      <c r="O857" s="257"/>
      <c r="P857" s="257"/>
      <c r="Q857" s="257"/>
      <c r="R857" s="257"/>
      <c r="S857" s="257"/>
      <c r="T857" s="257"/>
      <c r="U857" s="257"/>
      <c r="V857" s="257"/>
      <c r="W857" s="257"/>
      <c r="X857" s="257"/>
      <c r="Y857" s="257"/>
      <c r="Z857" s="257"/>
    </row>
    <row r="858" ht="14.25" customHeight="1">
      <c r="A858" s="257"/>
      <c r="B858" s="257"/>
      <c r="C858" s="257"/>
      <c r="D858" s="257"/>
      <c r="E858" s="257"/>
      <c r="F858" s="257"/>
      <c r="G858" s="257"/>
      <c r="H858" s="257"/>
      <c r="I858" s="257"/>
      <c r="J858" s="257"/>
      <c r="K858" s="257"/>
      <c r="L858" s="257"/>
      <c r="M858" s="257"/>
      <c r="N858" s="257"/>
      <c r="O858" s="257"/>
      <c r="P858" s="257"/>
      <c r="Q858" s="257"/>
      <c r="R858" s="257"/>
      <c r="S858" s="257"/>
      <c r="T858" s="257"/>
      <c r="U858" s="257"/>
      <c r="V858" s="257"/>
      <c r="W858" s="257"/>
      <c r="X858" s="257"/>
      <c r="Y858" s="257"/>
      <c r="Z858" s="257"/>
    </row>
    <row r="859" ht="14.25" customHeight="1">
      <c r="A859" s="257"/>
      <c r="B859" s="257"/>
      <c r="C859" s="257"/>
      <c r="D859" s="257"/>
      <c r="E859" s="257"/>
      <c r="F859" s="257"/>
      <c r="G859" s="257"/>
      <c r="H859" s="257"/>
      <c r="I859" s="257"/>
      <c r="J859" s="257"/>
      <c r="K859" s="257"/>
      <c r="L859" s="257"/>
      <c r="M859" s="257"/>
      <c r="N859" s="257"/>
      <c r="O859" s="257"/>
      <c r="P859" s="257"/>
      <c r="Q859" s="257"/>
      <c r="R859" s="257"/>
      <c r="S859" s="257"/>
      <c r="T859" s="257"/>
      <c r="U859" s="257"/>
      <c r="V859" s="257"/>
      <c r="W859" s="257"/>
      <c r="X859" s="257"/>
      <c r="Y859" s="257"/>
      <c r="Z859" s="257"/>
    </row>
    <row r="860" ht="14.25" customHeight="1">
      <c r="A860" s="257"/>
      <c r="B860" s="257"/>
      <c r="C860" s="257"/>
      <c r="D860" s="257"/>
      <c r="E860" s="257"/>
      <c r="F860" s="257"/>
      <c r="G860" s="257"/>
      <c r="H860" s="257"/>
      <c r="I860" s="257"/>
      <c r="J860" s="257"/>
      <c r="K860" s="257"/>
      <c r="L860" s="257"/>
      <c r="M860" s="257"/>
      <c r="N860" s="257"/>
      <c r="O860" s="257"/>
      <c r="P860" s="257"/>
      <c r="Q860" s="257"/>
      <c r="R860" s="257"/>
      <c r="S860" s="257"/>
      <c r="T860" s="257"/>
      <c r="U860" s="257"/>
      <c r="V860" s="257"/>
      <c r="W860" s="257"/>
      <c r="X860" s="257"/>
      <c r="Y860" s="257"/>
      <c r="Z860" s="257"/>
    </row>
    <row r="861" ht="14.25" customHeight="1">
      <c r="A861" s="257"/>
      <c r="B861" s="257"/>
      <c r="C861" s="257"/>
      <c r="D861" s="257"/>
      <c r="E861" s="257"/>
      <c r="F861" s="257"/>
      <c r="G861" s="257"/>
      <c r="H861" s="257"/>
      <c r="I861" s="257"/>
      <c r="J861" s="257"/>
      <c r="K861" s="257"/>
      <c r="L861" s="257"/>
      <c r="M861" s="257"/>
      <c r="N861" s="257"/>
      <c r="O861" s="257"/>
      <c r="P861" s="257"/>
      <c r="Q861" s="257"/>
      <c r="R861" s="257"/>
      <c r="S861" s="257"/>
      <c r="T861" s="257"/>
      <c r="U861" s="257"/>
      <c r="V861" s="257"/>
      <c r="W861" s="257"/>
      <c r="X861" s="257"/>
      <c r="Y861" s="257"/>
      <c r="Z861" s="257"/>
    </row>
    <row r="862" ht="14.25" customHeight="1">
      <c r="A862" s="257"/>
      <c r="B862" s="257"/>
      <c r="C862" s="257"/>
      <c r="D862" s="257"/>
      <c r="E862" s="257"/>
      <c r="F862" s="257"/>
      <c r="G862" s="257"/>
      <c r="H862" s="257"/>
      <c r="I862" s="257"/>
      <c r="J862" s="257"/>
      <c r="K862" s="257"/>
      <c r="L862" s="257"/>
      <c r="M862" s="257"/>
      <c r="N862" s="257"/>
      <c r="O862" s="257"/>
      <c r="P862" s="257"/>
      <c r="Q862" s="257"/>
      <c r="R862" s="257"/>
      <c r="S862" s="257"/>
      <c r="T862" s="257"/>
      <c r="U862" s="257"/>
      <c r="V862" s="257"/>
      <c r="W862" s="257"/>
      <c r="X862" s="257"/>
      <c r="Y862" s="257"/>
      <c r="Z862" s="257"/>
    </row>
    <row r="863" ht="14.25" customHeight="1">
      <c r="A863" s="257"/>
      <c r="B863" s="257"/>
      <c r="C863" s="257"/>
      <c r="D863" s="257"/>
      <c r="E863" s="257"/>
      <c r="F863" s="257"/>
      <c r="G863" s="257"/>
      <c r="H863" s="257"/>
      <c r="I863" s="257"/>
      <c r="J863" s="257"/>
      <c r="K863" s="257"/>
      <c r="L863" s="257"/>
      <c r="M863" s="257"/>
      <c r="N863" s="257"/>
      <c r="O863" s="257"/>
      <c r="P863" s="257"/>
      <c r="Q863" s="257"/>
      <c r="R863" s="257"/>
      <c r="S863" s="257"/>
      <c r="T863" s="257"/>
      <c r="U863" s="257"/>
      <c r="V863" s="257"/>
      <c r="W863" s="257"/>
      <c r="X863" s="257"/>
      <c r="Y863" s="257"/>
      <c r="Z863" s="257"/>
    </row>
    <row r="864" ht="14.25" customHeight="1">
      <c r="A864" s="257"/>
      <c r="B864" s="257"/>
      <c r="C864" s="257"/>
      <c r="D864" s="257"/>
      <c r="E864" s="257"/>
      <c r="F864" s="257"/>
      <c r="G864" s="257"/>
      <c r="H864" s="257"/>
      <c r="I864" s="257"/>
      <c r="J864" s="257"/>
      <c r="K864" s="257"/>
      <c r="L864" s="257"/>
      <c r="M864" s="257"/>
      <c r="N864" s="257"/>
      <c r="O864" s="257"/>
      <c r="P864" s="257"/>
      <c r="Q864" s="257"/>
      <c r="R864" s="257"/>
      <c r="S864" s="257"/>
      <c r="T864" s="257"/>
      <c r="U864" s="257"/>
      <c r="V864" s="257"/>
      <c r="W864" s="257"/>
      <c r="X864" s="257"/>
      <c r="Y864" s="257"/>
      <c r="Z864" s="257"/>
    </row>
    <row r="865" ht="14.25" customHeight="1">
      <c r="A865" s="257"/>
      <c r="B865" s="257"/>
      <c r="C865" s="257"/>
      <c r="D865" s="257"/>
      <c r="E865" s="257"/>
      <c r="F865" s="257"/>
      <c r="G865" s="257"/>
      <c r="H865" s="257"/>
      <c r="I865" s="257"/>
      <c r="J865" s="257"/>
      <c r="K865" s="257"/>
      <c r="L865" s="257"/>
      <c r="M865" s="257"/>
      <c r="N865" s="257"/>
      <c r="O865" s="257"/>
      <c r="P865" s="257"/>
      <c r="Q865" s="257"/>
      <c r="R865" s="257"/>
      <c r="S865" s="257"/>
      <c r="T865" s="257"/>
      <c r="U865" s="257"/>
      <c r="V865" s="257"/>
      <c r="W865" s="257"/>
      <c r="X865" s="257"/>
      <c r="Y865" s="257"/>
      <c r="Z865" s="257"/>
    </row>
    <row r="866" ht="14.25" customHeight="1">
      <c r="A866" s="257"/>
      <c r="B866" s="257"/>
      <c r="C866" s="257"/>
      <c r="D866" s="257"/>
      <c r="E866" s="257"/>
      <c r="F866" s="257"/>
      <c r="G866" s="257"/>
      <c r="H866" s="257"/>
      <c r="I866" s="257"/>
      <c r="J866" s="257"/>
      <c r="K866" s="257"/>
      <c r="L866" s="257"/>
      <c r="M866" s="257"/>
      <c r="N866" s="257"/>
      <c r="O866" s="257"/>
      <c r="P866" s="257"/>
      <c r="Q866" s="257"/>
      <c r="R866" s="257"/>
      <c r="S866" s="257"/>
      <c r="T866" s="257"/>
      <c r="U866" s="257"/>
      <c r="V866" s="257"/>
      <c r="W866" s="257"/>
      <c r="X866" s="257"/>
      <c r="Y866" s="257"/>
      <c r="Z866" s="257"/>
    </row>
    <row r="867" ht="14.25" customHeight="1">
      <c r="A867" s="257"/>
      <c r="B867" s="257"/>
      <c r="C867" s="257"/>
      <c r="D867" s="257"/>
      <c r="E867" s="257"/>
      <c r="F867" s="257"/>
      <c r="G867" s="257"/>
      <c r="H867" s="257"/>
      <c r="I867" s="257"/>
      <c r="J867" s="257"/>
      <c r="K867" s="257"/>
      <c r="L867" s="257"/>
      <c r="M867" s="257"/>
      <c r="N867" s="257"/>
      <c r="O867" s="257"/>
      <c r="P867" s="257"/>
      <c r="Q867" s="257"/>
      <c r="R867" s="257"/>
      <c r="S867" s="257"/>
      <c r="T867" s="257"/>
      <c r="U867" s="257"/>
      <c r="V867" s="257"/>
      <c r="W867" s="257"/>
      <c r="X867" s="257"/>
      <c r="Y867" s="257"/>
      <c r="Z867" s="257"/>
    </row>
    <row r="868" ht="14.25" customHeight="1">
      <c r="A868" s="257"/>
      <c r="B868" s="257"/>
      <c r="C868" s="257"/>
      <c r="D868" s="257"/>
      <c r="E868" s="257"/>
      <c r="F868" s="257"/>
      <c r="G868" s="257"/>
      <c r="H868" s="257"/>
      <c r="I868" s="257"/>
      <c r="J868" s="257"/>
      <c r="K868" s="257"/>
      <c r="L868" s="257"/>
      <c r="M868" s="257"/>
      <c r="N868" s="257"/>
      <c r="O868" s="257"/>
      <c r="P868" s="257"/>
      <c r="Q868" s="257"/>
      <c r="R868" s="257"/>
      <c r="S868" s="257"/>
      <c r="T868" s="257"/>
      <c r="U868" s="257"/>
      <c r="V868" s="257"/>
      <c r="W868" s="257"/>
      <c r="X868" s="257"/>
      <c r="Y868" s="257"/>
      <c r="Z868" s="257"/>
    </row>
    <row r="869" ht="14.25" customHeight="1">
      <c r="A869" s="257"/>
      <c r="B869" s="257"/>
      <c r="C869" s="257"/>
      <c r="D869" s="257"/>
      <c r="E869" s="257"/>
      <c r="F869" s="257"/>
      <c r="G869" s="257"/>
      <c r="H869" s="257"/>
      <c r="I869" s="257"/>
      <c r="J869" s="257"/>
      <c r="K869" s="257"/>
      <c r="L869" s="257"/>
      <c r="M869" s="257"/>
      <c r="N869" s="257"/>
      <c r="O869" s="257"/>
      <c r="P869" s="257"/>
      <c r="Q869" s="257"/>
      <c r="R869" s="257"/>
      <c r="S869" s="257"/>
      <c r="T869" s="257"/>
      <c r="U869" s="257"/>
      <c r="V869" s="257"/>
      <c r="W869" s="257"/>
      <c r="X869" s="257"/>
      <c r="Y869" s="257"/>
      <c r="Z869" s="257"/>
    </row>
    <row r="870" ht="14.25" customHeight="1">
      <c r="A870" s="257"/>
      <c r="B870" s="257"/>
      <c r="C870" s="257"/>
      <c r="D870" s="257"/>
      <c r="E870" s="257"/>
      <c r="F870" s="257"/>
      <c r="G870" s="257"/>
      <c r="H870" s="257"/>
      <c r="I870" s="257"/>
      <c r="J870" s="257"/>
      <c r="K870" s="257"/>
      <c r="L870" s="257"/>
      <c r="M870" s="257"/>
      <c r="N870" s="257"/>
      <c r="O870" s="257"/>
      <c r="P870" s="257"/>
      <c r="Q870" s="257"/>
      <c r="R870" s="257"/>
      <c r="S870" s="257"/>
      <c r="T870" s="257"/>
      <c r="U870" s="257"/>
      <c r="V870" s="257"/>
      <c r="W870" s="257"/>
      <c r="X870" s="257"/>
      <c r="Y870" s="257"/>
      <c r="Z870" s="257"/>
    </row>
    <row r="871" ht="14.25" customHeight="1">
      <c r="A871" s="257"/>
      <c r="B871" s="257"/>
      <c r="C871" s="257"/>
      <c r="D871" s="257"/>
      <c r="E871" s="257"/>
      <c r="F871" s="257"/>
      <c r="G871" s="257"/>
      <c r="H871" s="257"/>
      <c r="I871" s="257"/>
      <c r="J871" s="257"/>
      <c r="K871" s="257"/>
      <c r="L871" s="257"/>
      <c r="M871" s="257"/>
      <c r="N871" s="257"/>
      <c r="O871" s="257"/>
      <c r="P871" s="257"/>
      <c r="Q871" s="257"/>
      <c r="R871" s="257"/>
      <c r="S871" s="257"/>
      <c r="T871" s="257"/>
      <c r="U871" s="257"/>
      <c r="V871" s="257"/>
      <c r="W871" s="257"/>
      <c r="X871" s="257"/>
      <c r="Y871" s="257"/>
      <c r="Z871" s="257"/>
    </row>
    <row r="872" ht="14.25" customHeight="1">
      <c r="A872" s="257"/>
      <c r="B872" s="257"/>
      <c r="C872" s="257"/>
      <c r="D872" s="257"/>
      <c r="E872" s="257"/>
      <c r="F872" s="257"/>
      <c r="G872" s="257"/>
      <c r="H872" s="257"/>
      <c r="I872" s="257"/>
      <c r="J872" s="257"/>
      <c r="K872" s="257"/>
      <c r="L872" s="257"/>
      <c r="M872" s="257"/>
      <c r="N872" s="257"/>
      <c r="O872" s="257"/>
      <c r="P872" s="257"/>
      <c r="Q872" s="257"/>
      <c r="R872" s="257"/>
      <c r="S872" s="257"/>
      <c r="T872" s="257"/>
      <c r="U872" s="257"/>
      <c r="V872" s="257"/>
      <c r="W872" s="257"/>
      <c r="X872" s="257"/>
      <c r="Y872" s="257"/>
      <c r="Z872" s="257"/>
    </row>
    <row r="873" ht="14.25" customHeight="1">
      <c r="A873" s="257"/>
      <c r="B873" s="257"/>
      <c r="C873" s="257"/>
      <c r="D873" s="257"/>
      <c r="E873" s="257"/>
      <c r="F873" s="257"/>
      <c r="G873" s="257"/>
      <c r="H873" s="257"/>
      <c r="I873" s="257"/>
      <c r="J873" s="257"/>
      <c r="K873" s="257"/>
      <c r="L873" s="257"/>
      <c r="M873" s="257"/>
      <c r="N873" s="257"/>
      <c r="O873" s="257"/>
      <c r="P873" s="257"/>
      <c r="Q873" s="257"/>
      <c r="R873" s="257"/>
      <c r="S873" s="257"/>
      <c r="T873" s="257"/>
      <c r="U873" s="257"/>
      <c r="V873" s="257"/>
      <c r="W873" s="257"/>
      <c r="X873" s="257"/>
      <c r="Y873" s="257"/>
      <c r="Z873" s="257"/>
    </row>
    <row r="874" ht="14.25" customHeight="1">
      <c r="A874" s="257"/>
      <c r="B874" s="257"/>
      <c r="C874" s="257"/>
      <c r="D874" s="257"/>
      <c r="E874" s="257"/>
      <c r="F874" s="257"/>
      <c r="G874" s="257"/>
      <c r="H874" s="257"/>
      <c r="I874" s="257"/>
      <c r="J874" s="257"/>
      <c r="K874" s="257"/>
      <c r="L874" s="257"/>
      <c r="M874" s="257"/>
      <c r="N874" s="257"/>
      <c r="O874" s="257"/>
      <c r="P874" s="257"/>
      <c r="Q874" s="257"/>
      <c r="R874" s="257"/>
      <c r="S874" s="257"/>
      <c r="T874" s="257"/>
      <c r="U874" s="257"/>
      <c r="V874" s="257"/>
      <c r="W874" s="257"/>
      <c r="X874" s="257"/>
      <c r="Y874" s="257"/>
      <c r="Z874" s="257"/>
    </row>
    <row r="875" ht="14.25" customHeight="1">
      <c r="A875" s="257"/>
      <c r="B875" s="257"/>
      <c r="C875" s="257"/>
      <c r="D875" s="257"/>
      <c r="E875" s="257"/>
      <c r="F875" s="257"/>
      <c r="G875" s="257"/>
      <c r="H875" s="257"/>
      <c r="I875" s="257"/>
      <c r="J875" s="257"/>
      <c r="K875" s="257"/>
      <c r="L875" s="257"/>
      <c r="M875" s="257"/>
      <c r="N875" s="257"/>
      <c r="O875" s="257"/>
      <c r="P875" s="257"/>
      <c r="Q875" s="257"/>
      <c r="R875" s="257"/>
      <c r="S875" s="257"/>
      <c r="T875" s="257"/>
      <c r="U875" s="257"/>
      <c r="V875" s="257"/>
      <c r="W875" s="257"/>
      <c r="X875" s="257"/>
      <c r="Y875" s="257"/>
      <c r="Z875" s="257"/>
    </row>
    <row r="876" ht="14.25" customHeight="1">
      <c r="A876" s="257"/>
      <c r="B876" s="257"/>
      <c r="C876" s="257"/>
      <c r="D876" s="257"/>
      <c r="E876" s="257"/>
      <c r="F876" s="257"/>
      <c r="G876" s="257"/>
      <c r="H876" s="257"/>
      <c r="I876" s="257"/>
      <c r="J876" s="257"/>
      <c r="K876" s="257"/>
      <c r="L876" s="257"/>
      <c r="M876" s="257"/>
      <c r="N876" s="257"/>
      <c r="O876" s="257"/>
      <c r="P876" s="257"/>
      <c r="Q876" s="257"/>
      <c r="R876" s="257"/>
      <c r="S876" s="257"/>
      <c r="T876" s="257"/>
      <c r="U876" s="257"/>
      <c r="V876" s="257"/>
      <c r="W876" s="257"/>
      <c r="X876" s="257"/>
      <c r="Y876" s="257"/>
      <c r="Z876" s="257"/>
    </row>
    <row r="877" ht="14.25" customHeight="1">
      <c r="A877" s="257"/>
      <c r="B877" s="257"/>
      <c r="C877" s="257"/>
      <c r="D877" s="257"/>
      <c r="E877" s="257"/>
      <c r="F877" s="257"/>
      <c r="G877" s="257"/>
      <c r="H877" s="257"/>
      <c r="I877" s="257"/>
      <c r="J877" s="257"/>
      <c r="K877" s="257"/>
      <c r="L877" s="257"/>
      <c r="M877" s="257"/>
      <c r="N877" s="257"/>
      <c r="O877" s="257"/>
      <c r="P877" s="257"/>
      <c r="Q877" s="257"/>
      <c r="R877" s="257"/>
      <c r="S877" s="257"/>
      <c r="T877" s="257"/>
      <c r="U877" s="257"/>
      <c r="V877" s="257"/>
      <c r="W877" s="257"/>
      <c r="X877" s="257"/>
      <c r="Y877" s="257"/>
      <c r="Z877" s="257"/>
    </row>
    <row r="878" ht="14.25" customHeight="1">
      <c r="A878" s="257"/>
      <c r="B878" s="257"/>
      <c r="C878" s="257"/>
      <c r="D878" s="257"/>
      <c r="E878" s="257"/>
      <c r="F878" s="257"/>
      <c r="G878" s="257"/>
      <c r="H878" s="257"/>
      <c r="I878" s="257"/>
      <c r="J878" s="257"/>
      <c r="K878" s="257"/>
      <c r="L878" s="257"/>
      <c r="M878" s="257"/>
      <c r="N878" s="257"/>
      <c r="O878" s="257"/>
      <c r="P878" s="257"/>
      <c r="Q878" s="257"/>
      <c r="R878" s="257"/>
      <c r="S878" s="257"/>
      <c r="T878" s="257"/>
      <c r="U878" s="257"/>
      <c r="V878" s="257"/>
      <c r="W878" s="257"/>
      <c r="X878" s="257"/>
      <c r="Y878" s="257"/>
      <c r="Z878" s="257"/>
    </row>
    <row r="879" ht="14.25" customHeight="1">
      <c r="A879" s="257"/>
      <c r="B879" s="257"/>
      <c r="C879" s="257"/>
      <c r="D879" s="257"/>
      <c r="E879" s="257"/>
      <c r="F879" s="257"/>
      <c r="G879" s="257"/>
      <c r="H879" s="257"/>
      <c r="I879" s="257"/>
      <c r="J879" s="257"/>
      <c r="K879" s="257"/>
      <c r="L879" s="257"/>
      <c r="M879" s="257"/>
      <c r="N879" s="257"/>
      <c r="O879" s="257"/>
      <c r="P879" s="257"/>
      <c r="Q879" s="257"/>
      <c r="R879" s="257"/>
      <c r="S879" s="257"/>
      <c r="T879" s="257"/>
      <c r="U879" s="257"/>
      <c r="V879" s="257"/>
      <c r="W879" s="257"/>
      <c r="X879" s="257"/>
      <c r="Y879" s="257"/>
      <c r="Z879" s="257"/>
    </row>
    <row r="880" ht="14.25" customHeight="1">
      <c r="A880" s="257"/>
      <c r="B880" s="257"/>
      <c r="C880" s="257"/>
      <c r="D880" s="257"/>
      <c r="E880" s="257"/>
      <c r="F880" s="257"/>
      <c r="G880" s="257"/>
      <c r="H880" s="257"/>
      <c r="I880" s="257"/>
      <c r="J880" s="257"/>
      <c r="K880" s="257"/>
      <c r="L880" s="257"/>
      <c r="M880" s="257"/>
      <c r="N880" s="257"/>
      <c r="O880" s="257"/>
      <c r="P880" s="257"/>
      <c r="Q880" s="257"/>
      <c r="R880" s="257"/>
      <c r="S880" s="257"/>
      <c r="T880" s="257"/>
      <c r="U880" s="257"/>
      <c r="V880" s="257"/>
      <c r="W880" s="257"/>
      <c r="X880" s="257"/>
      <c r="Y880" s="257"/>
      <c r="Z880" s="257"/>
    </row>
    <row r="881" ht="14.25" customHeight="1">
      <c r="A881" s="257"/>
      <c r="B881" s="257"/>
      <c r="C881" s="257"/>
      <c r="D881" s="257"/>
      <c r="E881" s="257"/>
      <c r="F881" s="257"/>
      <c r="G881" s="257"/>
      <c r="H881" s="257"/>
      <c r="I881" s="257"/>
      <c r="J881" s="257"/>
      <c r="K881" s="257"/>
      <c r="L881" s="257"/>
      <c r="M881" s="257"/>
      <c r="N881" s="257"/>
      <c r="O881" s="257"/>
      <c r="P881" s="257"/>
      <c r="Q881" s="257"/>
      <c r="R881" s="257"/>
      <c r="S881" s="257"/>
      <c r="T881" s="257"/>
      <c r="U881" s="257"/>
      <c r="V881" s="257"/>
      <c r="W881" s="257"/>
      <c r="X881" s="257"/>
      <c r="Y881" s="257"/>
      <c r="Z881" s="257"/>
    </row>
    <row r="882" ht="14.25" customHeight="1">
      <c r="A882" s="257"/>
      <c r="B882" s="257"/>
      <c r="C882" s="257"/>
      <c r="D882" s="257"/>
      <c r="E882" s="257"/>
      <c r="F882" s="257"/>
      <c r="G882" s="257"/>
      <c r="H882" s="257"/>
      <c r="I882" s="257"/>
      <c r="J882" s="257"/>
      <c r="K882" s="257"/>
      <c r="L882" s="257"/>
      <c r="M882" s="257"/>
      <c r="N882" s="257"/>
      <c r="O882" s="257"/>
      <c r="P882" s="257"/>
      <c r="Q882" s="257"/>
      <c r="R882" s="257"/>
      <c r="S882" s="257"/>
      <c r="T882" s="257"/>
      <c r="U882" s="257"/>
      <c r="V882" s="257"/>
      <c r="W882" s="257"/>
      <c r="X882" s="257"/>
      <c r="Y882" s="257"/>
      <c r="Z882" s="257"/>
    </row>
    <row r="883" ht="14.25" customHeight="1">
      <c r="A883" s="257"/>
      <c r="B883" s="257"/>
      <c r="C883" s="257"/>
      <c r="D883" s="257"/>
      <c r="E883" s="257"/>
      <c r="F883" s="257"/>
      <c r="G883" s="257"/>
      <c r="H883" s="257"/>
      <c r="I883" s="257"/>
      <c r="J883" s="257"/>
      <c r="K883" s="257"/>
      <c r="L883" s="257"/>
      <c r="M883" s="257"/>
      <c r="N883" s="257"/>
      <c r="O883" s="257"/>
      <c r="P883" s="257"/>
      <c r="Q883" s="257"/>
      <c r="R883" s="257"/>
      <c r="S883" s="257"/>
      <c r="T883" s="257"/>
      <c r="U883" s="257"/>
      <c r="V883" s="257"/>
      <c r="W883" s="257"/>
      <c r="X883" s="257"/>
      <c r="Y883" s="257"/>
      <c r="Z883" s="257"/>
    </row>
    <row r="884" ht="14.25" customHeight="1">
      <c r="A884" s="257"/>
      <c r="B884" s="257"/>
      <c r="C884" s="257"/>
      <c r="D884" s="257"/>
      <c r="E884" s="257"/>
      <c r="F884" s="257"/>
      <c r="G884" s="257"/>
      <c r="H884" s="257"/>
      <c r="I884" s="257"/>
      <c r="J884" s="257"/>
      <c r="K884" s="257"/>
      <c r="L884" s="257"/>
      <c r="M884" s="257"/>
      <c r="N884" s="257"/>
      <c r="O884" s="257"/>
      <c r="P884" s="257"/>
      <c r="Q884" s="257"/>
      <c r="R884" s="257"/>
      <c r="S884" s="257"/>
      <c r="T884" s="257"/>
      <c r="U884" s="257"/>
      <c r="V884" s="257"/>
      <c r="W884" s="257"/>
      <c r="X884" s="257"/>
      <c r="Y884" s="257"/>
      <c r="Z884" s="257"/>
    </row>
    <row r="885" ht="14.25" customHeight="1">
      <c r="A885" s="257"/>
      <c r="B885" s="257"/>
      <c r="C885" s="257"/>
      <c r="D885" s="257"/>
      <c r="E885" s="257"/>
      <c r="F885" s="257"/>
      <c r="G885" s="257"/>
      <c r="H885" s="257"/>
      <c r="I885" s="257"/>
      <c r="J885" s="257"/>
      <c r="K885" s="257"/>
      <c r="L885" s="257"/>
      <c r="M885" s="257"/>
      <c r="N885" s="257"/>
      <c r="O885" s="257"/>
      <c r="P885" s="257"/>
      <c r="Q885" s="257"/>
      <c r="R885" s="257"/>
      <c r="S885" s="257"/>
      <c r="T885" s="257"/>
      <c r="U885" s="257"/>
      <c r="V885" s="257"/>
      <c r="W885" s="257"/>
      <c r="X885" s="257"/>
      <c r="Y885" s="257"/>
      <c r="Z885" s="257"/>
    </row>
    <row r="886" ht="14.25" customHeight="1">
      <c r="A886" s="257"/>
      <c r="B886" s="257"/>
      <c r="C886" s="257"/>
      <c r="D886" s="257"/>
      <c r="E886" s="257"/>
      <c r="F886" s="257"/>
      <c r="G886" s="257"/>
      <c r="H886" s="257"/>
      <c r="I886" s="257"/>
      <c r="J886" s="257"/>
      <c r="K886" s="257"/>
      <c r="L886" s="257"/>
      <c r="M886" s="257"/>
      <c r="N886" s="257"/>
      <c r="O886" s="257"/>
      <c r="P886" s="257"/>
      <c r="Q886" s="257"/>
      <c r="R886" s="257"/>
      <c r="S886" s="257"/>
      <c r="T886" s="257"/>
      <c r="U886" s="257"/>
      <c r="V886" s="257"/>
      <c r="W886" s="257"/>
      <c r="X886" s="257"/>
      <c r="Y886" s="257"/>
      <c r="Z886" s="257"/>
    </row>
    <row r="887" ht="14.25" customHeight="1">
      <c r="A887" s="257"/>
      <c r="B887" s="257"/>
      <c r="C887" s="257"/>
      <c r="D887" s="257"/>
      <c r="E887" s="257"/>
      <c r="F887" s="257"/>
      <c r="G887" s="257"/>
      <c r="H887" s="257"/>
      <c r="I887" s="257"/>
      <c r="J887" s="257"/>
      <c r="K887" s="257"/>
      <c r="L887" s="257"/>
      <c r="M887" s="257"/>
      <c r="N887" s="257"/>
      <c r="O887" s="257"/>
      <c r="P887" s="257"/>
      <c r="Q887" s="257"/>
      <c r="R887" s="257"/>
      <c r="S887" s="257"/>
      <c r="T887" s="257"/>
      <c r="U887" s="257"/>
      <c r="V887" s="257"/>
      <c r="W887" s="257"/>
      <c r="X887" s="257"/>
      <c r="Y887" s="257"/>
      <c r="Z887" s="257"/>
    </row>
    <row r="888" ht="14.25" customHeight="1">
      <c r="A888" s="257"/>
      <c r="B888" s="257"/>
      <c r="C888" s="257"/>
      <c r="D888" s="257"/>
      <c r="E888" s="257"/>
      <c r="F888" s="257"/>
      <c r="G888" s="257"/>
      <c r="H888" s="257"/>
      <c r="I888" s="257"/>
      <c r="J888" s="257"/>
      <c r="K888" s="257"/>
      <c r="L888" s="257"/>
      <c r="M888" s="257"/>
      <c r="N888" s="257"/>
      <c r="O888" s="257"/>
      <c r="P888" s="257"/>
      <c r="Q888" s="257"/>
      <c r="R888" s="257"/>
      <c r="S888" s="257"/>
      <c r="T888" s="257"/>
      <c r="U888" s="257"/>
      <c r="V888" s="257"/>
      <c r="W888" s="257"/>
      <c r="X888" s="257"/>
      <c r="Y888" s="257"/>
      <c r="Z888" s="257"/>
    </row>
    <row r="889" ht="14.25" customHeight="1">
      <c r="A889" s="257"/>
      <c r="B889" s="257"/>
      <c r="C889" s="257"/>
      <c r="D889" s="257"/>
      <c r="E889" s="257"/>
      <c r="F889" s="257"/>
      <c r="G889" s="257"/>
      <c r="H889" s="257"/>
      <c r="I889" s="257"/>
      <c r="J889" s="257"/>
      <c r="K889" s="257"/>
      <c r="L889" s="257"/>
      <c r="M889" s="257"/>
      <c r="N889" s="257"/>
      <c r="O889" s="257"/>
      <c r="P889" s="257"/>
      <c r="Q889" s="257"/>
      <c r="R889" s="257"/>
      <c r="S889" s="257"/>
      <c r="T889" s="257"/>
      <c r="U889" s="257"/>
      <c r="V889" s="257"/>
      <c r="W889" s="257"/>
      <c r="X889" s="257"/>
      <c r="Y889" s="257"/>
      <c r="Z889" s="257"/>
    </row>
    <row r="890" ht="14.25" customHeight="1">
      <c r="A890" s="257"/>
      <c r="B890" s="257"/>
      <c r="C890" s="257"/>
      <c r="D890" s="257"/>
      <c r="E890" s="257"/>
      <c r="F890" s="257"/>
      <c r="G890" s="257"/>
      <c r="H890" s="257"/>
      <c r="I890" s="257"/>
      <c r="J890" s="257"/>
      <c r="K890" s="257"/>
      <c r="L890" s="257"/>
      <c r="M890" s="257"/>
      <c r="N890" s="257"/>
      <c r="O890" s="257"/>
      <c r="P890" s="257"/>
      <c r="Q890" s="257"/>
      <c r="R890" s="257"/>
      <c r="S890" s="257"/>
      <c r="T890" s="257"/>
      <c r="U890" s="257"/>
      <c r="V890" s="257"/>
      <c r="W890" s="257"/>
      <c r="X890" s="257"/>
      <c r="Y890" s="257"/>
      <c r="Z890" s="257"/>
    </row>
    <row r="891" ht="14.25" customHeight="1">
      <c r="A891" s="257"/>
      <c r="B891" s="257"/>
      <c r="C891" s="257"/>
      <c r="D891" s="257"/>
      <c r="E891" s="257"/>
      <c r="F891" s="257"/>
      <c r="G891" s="257"/>
      <c r="H891" s="257"/>
      <c r="I891" s="257"/>
      <c r="J891" s="257"/>
      <c r="K891" s="257"/>
      <c r="L891" s="257"/>
      <c r="M891" s="257"/>
      <c r="N891" s="257"/>
      <c r="O891" s="257"/>
      <c r="P891" s="257"/>
      <c r="Q891" s="257"/>
      <c r="R891" s="257"/>
      <c r="S891" s="257"/>
      <c r="T891" s="257"/>
      <c r="U891" s="257"/>
      <c r="V891" s="257"/>
      <c r="W891" s="257"/>
      <c r="X891" s="257"/>
      <c r="Y891" s="257"/>
      <c r="Z891" s="257"/>
    </row>
    <row r="892" ht="14.25" customHeight="1">
      <c r="A892" s="257"/>
      <c r="B892" s="257"/>
      <c r="C892" s="257"/>
      <c r="D892" s="257"/>
      <c r="E892" s="257"/>
      <c r="F892" s="257"/>
      <c r="G892" s="257"/>
      <c r="H892" s="257"/>
      <c r="I892" s="257"/>
      <c r="J892" s="257"/>
      <c r="K892" s="257"/>
      <c r="L892" s="257"/>
      <c r="M892" s="257"/>
      <c r="N892" s="257"/>
      <c r="O892" s="257"/>
      <c r="P892" s="257"/>
      <c r="Q892" s="257"/>
      <c r="R892" s="257"/>
      <c r="S892" s="257"/>
      <c r="T892" s="257"/>
      <c r="U892" s="257"/>
      <c r="V892" s="257"/>
      <c r="W892" s="257"/>
      <c r="X892" s="257"/>
      <c r="Y892" s="257"/>
      <c r="Z892" s="257"/>
    </row>
    <row r="893" ht="14.25" customHeight="1">
      <c r="A893" s="257"/>
      <c r="B893" s="257"/>
      <c r="C893" s="257"/>
      <c r="D893" s="257"/>
      <c r="E893" s="257"/>
      <c r="F893" s="257"/>
      <c r="G893" s="257"/>
      <c r="H893" s="257"/>
      <c r="I893" s="257"/>
      <c r="J893" s="257"/>
      <c r="K893" s="257"/>
      <c r="L893" s="257"/>
      <c r="M893" s="257"/>
      <c r="N893" s="257"/>
      <c r="O893" s="257"/>
      <c r="P893" s="257"/>
      <c r="Q893" s="257"/>
      <c r="R893" s="257"/>
      <c r="S893" s="257"/>
      <c r="T893" s="257"/>
      <c r="U893" s="257"/>
      <c r="V893" s="257"/>
      <c r="W893" s="257"/>
      <c r="X893" s="257"/>
      <c r="Y893" s="257"/>
      <c r="Z893" s="257"/>
    </row>
    <row r="894" ht="14.25" customHeight="1">
      <c r="A894" s="257"/>
      <c r="B894" s="257"/>
      <c r="C894" s="257"/>
      <c r="D894" s="257"/>
      <c r="E894" s="257"/>
      <c r="F894" s="257"/>
      <c r="G894" s="257"/>
      <c r="H894" s="257"/>
      <c r="I894" s="257"/>
      <c r="J894" s="257"/>
      <c r="K894" s="257"/>
      <c r="L894" s="257"/>
      <c r="M894" s="257"/>
      <c r="N894" s="257"/>
      <c r="O894" s="257"/>
      <c r="P894" s="257"/>
      <c r="Q894" s="257"/>
      <c r="R894" s="257"/>
      <c r="S894" s="257"/>
      <c r="T894" s="257"/>
      <c r="U894" s="257"/>
      <c r="V894" s="257"/>
      <c r="W894" s="257"/>
      <c r="X894" s="257"/>
      <c r="Y894" s="257"/>
      <c r="Z894" s="257"/>
    </row>
    <row r="895" ht="14.25" customHeight="1">
      <c r="A895" s="257"/>
      <c r="B895" s="257"/>
      <c r="C895" s="257"/>
      <c r="D895" s="257"/>
      <c r="E895" s="257"/>
      <c r="F895" s="257"/>
      <c r="G895" s="257"/>
      <c r="H895" s="257"/>
      <c r="I895" s="257"/>
      <c r="J895" s="257"/>
      <c r="K895" s="257"/>
      <c r="L895" s="257"/>
      <c r="M895" s="257"/>
      <c r="N895" s="257"/>
      <c r="O895" s="257"/>
      <c r="P895" s="257"/>
      <c r="Q895" s="257"/>
      <c r="R895" s="257"/>
      <c r="S895" s="257"/>
      <c r="T895" s="257"/>
      <c r="U895" s="257"/>
      <c r="V895" s="257"/>
      <c r="W895" s="257"/>
      <c r="X895" s="257"/>
      <c r="Y895" s="257"/>
      <c r="Z895" s="257"/>
    </row>
    <row r="896" ht="14.25" customHeight="1">
      <c r="A896" s="257"/>
      <c r="B896" s="257"/>
      <c r="C896" s="257"/>
      <c r="D896" s="257"/>
      <c r="E896" s="257"/>
      <c r="F896" s="257"/>
      <c r="G896" s="257"/>
      <c r="H896" s="257"/>
      <c r="I896" s="257"/>
      <c r="J896" s="257"/>
      <c r="K896" s="257"/>
      <c r="L896" s="257"/>
      <c r="M896" s="257"/>
      <c r="N896" s="257"/>
      <c r="O896" s="257"/>
      <c r="P896" s="257"/>
      <c r="Q896" s="257"/>
      <c r="R896" s="257"/>
      <c r="S896" s="257"/>
      <c r="T896" s="257"/>
      <c r="U896" s="257"/>
      <c r="V896" s="257"/>
      <c r="W896" s="257"/>
      <c r="X896" s="257"/>
      <c r="Y896" s="257"/>
      <c r="Z896" s="257"/>
    </row>
    <row r="897" ht="14.25" customHeight="1">
      <c r="A897" s="257"/>
      <c r="B897" s="257"/>
      <c r="C897" s="257"/>
      <c r="D897" s="257"/>
      <c r="E897" s="257"/>
      <c r="F897" s="257"/>
      <c r="G897" s="257"/>
      <c r="H897" s="257"/>
      <c r="I897" s="257"/>
      <c r="J897" s="257"/>
      <c r="K897" s="257"/>
      <c r="L897" s="257"/>
      <c r="M897" s="257"/>
      <c r="N897" s="257"/>
      <c r="O897" s="257"/>
      <c r="P897" s="257"/>
      <c r="Q897" s="257"/>
      <c r="R897" s="257"/>
      <c r="S897" s="257"/>
      <c r="T897" s="257"/>
      <c r="U897" s="257"/>
      <c r="V897" s="257"/>
      <c r="W897" s="257"/>
      <c r="X897" s="257"/>
      <c r="Y897" s="257"/>
      <c r="Z897" s="257"/>
    </row>
    <row r="898" ht="14.25" customHeight="1">
      <c r="A898" s="257"/>
      <c r="B898" s="257"/>
      <c r="C898" s="257"/>
      <c r="D898" s="257"/>
      <c r="E898" s="257"/>
      <c r="F898" s="257"/>
      <c r="G898" s="257"/>
      <c r="H898" s="257"/>
      <c r="I898" s="257"/>
      <c r="J898" s="257"/>
      <c r="K898" s="257"/>
      <c r="L898" s="257"/>
      <c r="M898" s="257"/>
      <c r="N898" s="257"/>
      <c r="O898" s="257"/>
      <c r="P898" s="257"/>
      <c r="Q898" s="257"/>
      <c r="R898" s="257"/>
      <c r="S898" s="257"/>
      <c r="T898" s="257"/>
      <c r="U898" s="257"/>
      <c r="V898" s="257"/>
      <c r="W898" s="257"/>
      <c r="X898" s="257"/>
      <c r="Y898" s="257"/>
      <c r="Z898" s="257"/>
    </row>
    <row r="899" ht="14.25" customHeight="1">
      <c r="A899" s="257"/>
      <c r="B899" s="257"/>
      <c r="C899" s="257"/>
      <c r="D899" s="257"/>
      <c r="E899" s="257"/>
      <c r="F899" s="257"/>
      <c r="G899" s="257"/>
      <c r="H899" s="257"/>
      <c r="I899" s="257"/>
      <c r="J899" s="257"/>
      <c r="K899" s="257"/>
      <c r="L899" s="257"/>
      <c r="M899" s="257"/>
      <c r="N899" s="257"/>
      <c r="O899" s="257"/>
      <c r="P899" s="257"/>
      <c r="Q899" s="257"/>
      <c r="R899" s="257"/>
      <c r="S899" s="257"/>
      <c r="T899" s="257"/>
      <c r="U899" s="257"/>
      <c r="V899" s="257"/>
      <c r="W899" s="257"/>
      <c r="X899" s="257"/>
      <c r="Y899" s="257"/>
      <c r="Z899" s="257"/>
    </row>
    <row r="900" ht="14.25" customHeight="1">
      <c r="A900" s="257"/>
      <c r="B900" s="257"/>
      <c r="C900" s="257"/>
      <c r="D900" s="257"/>
      <c r="E900" s="257"/>
      <c r="F900" s="257"/>
      <c r="G900" s="257"/>
      <c r="H900" s="257"/>
      <c r="I900" s="257"/>
      <c r="J900" s="257"/>
      <c r="K900" s="257"/>
      <c r="L900" s="257"/>
      <c r="M900" s="257"/>
      <c r="N900" s="257"/>
      <c r="O900" s="257"/>
      <c r="P900" s="257"/>
      <c r="Q900" s="257"/>
      <c r="R900" s="257"/>
      <c r="S900" s="257"/>
      <c r="T900" s="257"/>
      <c r="U900" s="257"/>
      <c r="V900" s="257"/>
      <c r="W900" s="257"/>
      <c r="X900" s="257"/>
      <c r="Y900" s="257"/>
      <c r="Z900" s="257"/>
    </row>
    <row r="901" ht="14.25" customHeight="1">
      <c r="A901" s="257"/>
      <c r="B901" s="257"/>
      <c r="C901" s="257"/>
      <c r="D901" s="257"/>
      <c r="E901" s="257"/>
      <c r="F901" s="257"/>
      <c r="G901" s="257"/>
      <c r="H901" s="257"/>
      <c r="I901" s="257"/>
      <c r="J901" s="257"/>
      <c r="K901" s="257"/>
      <c r="L901" s="257"/>
      <c r="M901" s="257"/>
      <c r="N901" s="257"/>
      <c r="O901" s="257"/>
      <c r="P901" s="257"/>
      <c r="Q901" s="257"/>
      <c r="R901" s="257"/>
      <c r="S901" s="257"/>
      <c r="T901" s="257"/>
      <c r="U901" s="257"/>
      <c r="V901" s="257"/>
      <c r="W901" s="257"/>
      <c r="X901" s="257"/>
      <c r="Y901" s="257"/>
      <c r="Z901" s="257"/>
    </row>
    <row r="902" ht="14.25" customHeight="1">
      <c r="A902" s="257"/>
      <c r="B902" s="257"/>
      <c r="C902" s="257"/>
      <c r="D902" s="257"/>
      <c r="E902" s="257"/>
      <c r="F902" s="257"/>
      <c r="G902" s="257"/>
      <c r="H902" s="257"/>
      <c r="I902" s="257"/>
      <c r="J902" s="257"/>
      <c r="K902" s="257"/>
      <c r="L902" s="257"/>
      <c r="M902" s="257"/>
      <c r="N902" s="257"/>
      <c r="O902" s="257"/>
      <c r="P902" s="257"/>
      <c r="Q902" s="257"/>
      <c r="R902" s="257"/>
      <c r="S902" s="257"/>
      <c r="T902" s="257"/>
      <c r="U902" s="257"/>
      <c r="V902" s="257"/>
      <c r="W902" s="257"/>
      <c r="X902" s="257"/>
      <c r="Y902" s="257"/>
      <c r="Z902" s="257"/>
    </row>
    <row r="903" ht="14.25" customHeight="1">
      <c r="A903" s="257"/>
      <c r="B903" s="257"/>
      <c r="C903" s="257"/>
      <c r="D903" s="257"/>
      <c r="E903" s="257"/>
      <c r="F903" s="257"/>
      <c r="G903" s="257"/>
      <c r="H903" s="257"/>
      <c r="I903" s="257"/>
      <c r="J903" s="257"/>
      <c r="K903" s="257"/>
      <c r="L903" s="257"/>
      <c r="M903" s="257"/>
      <c r="N903" s="257"/>
      <c r="O903" s="257"/>
      <c r="P903" s="257"/>
      <c r="Q903" s="257"/>
      <c r="R903" s="257"/>
      <c r="S903" s="257"/>
      <c r="T903" s="257"/>
      <c r="U903" s="257"/>
      <c r="V903" s="257"/>
      <c r="W903" s="257"/>
      <c r="X903" s="257"/>
      <c r="Y903" s="257"/>
      <c r="Z903" s="257"/>
    </row>
    <row r="904" ht="14.25" customHeight="1">
      <c r="A904" s="257"/>
      <c r="B904" s="257"/>
      <c r="C904" s="257"/>
      <c r="D904" s="257"/>
      <c r="E904" s="257"/>
      <c r="F904" s="257"/>
      <c r="G904" s="257"/>
      <c r="H904" s="257"/>
      <c r="I904" s="257"/>
      <c r="J904" s="257"/>
      <c r="K904" s="257"/>
      <c r="L904" s="257"/>
      <c r="M904" s="257"/>
      <c r="N904" s="257"/>
      <c r="O904" s="257"/>
      <c r="P904" s="257"/>
      <c r="Q904" s="257"/>
      <c r="R904" s="257"/>
      <c r="S904" s="257"/>
      <c r="T904" s="257"/>
      <c r="U904" s="257"/>
      <c r="V904" s="257"/>
      <c r="W904" s="257"/>
      <c r="X904" s="257"/>
      <c r="Y904" s="257"/>
      <c r="Z904" s="257"/>
    </row>
    <row r="905" ht="14.25" customHeight="1">
      <c r="A905" s="257"/>
      <c r="B905" s="257"/>
      <c r="C905" s="257"/>
      <c r="D905" s="257"/>
      <c r="E905" s="257"/>
      <c r="F905" s="257"/>
      <c r="G905" s="257"/>
      <c r="H905" s="257"/>
      <c r="I905" s="257"/>
      <c r="J905" s="257"/>
      <c r="K905" s="257"/>
      <c r="L905" s="257"/>
      <c r="M905" s="257"/>
      <c r="N905" s="257"/>
      <c r="O905" s="257"/>
      <c r="P905" s="257"/>
      <c r="Q905" s="257"/>
      <c r="R905" s="257"/>
      <c r="S905" s="257"/>
      <c r="T905" s="257"/>
      <c r="U905" s="257"/>
      <c r="V905" s="257"/>
      <c r="W905" s="257"/>
      <c r="X905" s="257"/>
      <c r="Y905" s="257"/>
      <c r="Z905" s="257"/>
    </row>
    <row r="906" ht="14.25" customHeight="1">
      <c r="A906" s="257"/>
      <c r="B906" s="257"/>
      <c r="C906" s="257"/>
      <c r="D906" s="257"/>
      <c r="E906" s="257"/>
      <c r="F906" s="257"/>
      <c r="G906" s="257"/>
      <c r="H906" s="257"/>
      <c r="I906" s="257"/>
      <c r="J906" s="257"/>
      <c r="K906" s="257"/>
      <c r="L906" s="257"/>
      <c r="M906" s="257"/>
      <c r="N906" s="257"/>
      <c r="O906" s="257"/>
      <c r="P906" s="257"/>
      <c r="Q906" s="257"/>
      <c r="R906" s="257"/>
      <c r="S906" s="257"/>
      <c r="T906" s="257"/>
      <c r="U906" s="257"/>
      <c r="V906" s="257"/>
      <c r="W906" s="257"/>
      <c r="X906" s="257"/>
      <c r="Y906" s="257"/>
      <c r="Z906" s="257"/>
    </row>
    <row r="907" ht="14.25" customHeight="1">
      <c r="A907" s="257"/>
      <c r="B907" s="257"/>
      <c r="C907" s="257"/>
      <c r="D907" s="257"/>
      <c r="E907" s="257"/>
      <c r="F907" s="257"/>
      <c r="G907" s="257"/>
      <c r="H907" s="257"/>
      <c r="I907" s="257"/>
      <c r="J907" s="257"/>
      <c r="K907" s="257"/>
      <c r="L907" s="257"/>
      <c r="M907" s="257"/>
      <c r="N907" s="257"/>
      <c r="O907" s="257"/>
      <c r="P907" s="257"/>
      <c r="Q907" s="257"/>
      <c r="R907" s="257"/>
      <c r="S907" s="257"/>
      <c r="T907" s="257"/>
      <c r="U907" s="257"/>
      <c r="V907" s="257"/>
      <c r="W907" s="257"/>
      <c r="X907" s="257"/>
      <c r="Y907" s="257"/>
      <c r="Z907" s="257"/>
    </row>
    <row r="908" ht="14.25" customHeight="1">
      <c r="A908" s="257"/>
      <c r="B908" s="257"/>
      <c r="C908" s="257"/>
      <c r="D908" s="257"/>
      <c r="E908" s="257"/>
      <c r="F908" s="257"/>
      <c r="G908" s="257"/>
      <c r="H908" s="257"/>
      <c r="I908" s="257"/>
      <c r="J908" s="257"/>
      <c r="K908" s="257"/>
      <c r="L908" s="257"/>
      <c r="M908" s="257"/>
      <c r="N908" s="257"/>
      <c r="O908" s="257"/>
      <c r="P908" s="257"/>
      <c r="Q908" s="257"/>
      <c r="R908" s="257"/>
      <c r="S908" s="257"/>
      <c r="T908" s="257"/>
      <c r="U908" s="257"/>
      <c r="V908" s="257"/>
      <c r="W908" s="257"/>
      <c r="X908" s="257"/>
      <c r="Y908" s="257"/>
      <c r="Z908" s="257"/>
    </row>
    <row r="909" ht="14.25" customHeight="1">
      <c r="A909" s="257"/>
      <c r="B909" s="257"/>
      <c r="C909" s="257"/>
      <c r="D909" s="257"/>
      <c r="E909" s="257"/>
      <c r="F909" s="257"/>
      <c r="G909" s="257"/>
      <c r="H909" s="257"/>
      <c r="I909" s="257"/>
      <c r="J909" s="257"/>
      <c r="K909" s="257"/>
      <c r="L909" s="257"/>
      <c r="M909" s="257"/>
      <c r="N909" s="257"/>
      <c r="O909" s="257"/>
      <c r="P909" s="257"/>
      <c r="Q909" s="257"/>
      <c r="R909" s="257"/>
      <c r="S909" s="257"/>
      <c r="T909" s="257"/>
      <c r="U909" s="257"/>
      <c r="V909" s="257"/>
      <c r="W909" s="257"/>
      <c r="X909" s="257"/>
      <c r="Y909" s="257"/>
      <c r="Z909" s="257"/>
    </row>
    <row r="910" ht="14.25" customHeight="1">
      <c r="A910" s="257"/>
      <c r="B910" s="257"/>
      <c r="C910" s="257"/>
      <c r="D910" s="257"/>
      <c r="E910" s="257"/>
      <c r="F910" s="257"/>
      <c r="G910" s="257"/>
      <c r="H910" s="257"/>
      <c r="I910" s="257"/>
      <c r="J910" s="257"/>
      <c r="K910" s="257"/>
      <c r="L910" s="257"/>
      <c r="M910" s="257"/>
      <c r="N910" s="257"/>
      <c r="O910" s="257"/>
      <c r="P910" s="257"/>
      <c r="Q910" s="257"/>
      <c r="R910" s="257"/>
      <c r="S910" s="257"/>
      <c r="T910" s="257"/>
      <c r="U910" s="257"/>
      <c r="V910" s="257"/>
      <c r="W910" s="257"/>
      <c r="X910" s="257"/>
      <c r="Y910" s="257"/>
      <c r="Z910" s="257"/>
    </row>
    <row r="911" ht="14.25" customHeight="1">
      <c r="A911" s="257"/>
      <c r="B911" s="257"/>
      <c r="C911" s="257"/>
      <c r="D911" s="257"/>
      <c r="E911" s="257"/>
      <c r="F911" s="257"/>
      <c r="G911" s="257"/>
      <c r="H911" s="257"/>
      <c r="I911" s="257"/>
      <c r="J911" s="257"/>
      <c r="K911" s="257"/>
      <c r="L911" s="257"/>
      <c r="M911" s="257"/>
      <c r="N911" s="257"/>
      <c r="O911" s="257"/>
      <c r="P911" s="257"/>
      <c r="Q911" s="257"/>
      <c r="R911" s="257"/>
      <c r="S911" s="257"/>
      <c r="T911" s="257"/>
      <c r="U911" s="257"/>
      <c r="V911" s="257"/>
      <c r="W911" s="257"/>
      <c r="X911" s="257"/>
      <c r="Y911" s="257"/>
      <c r="Z911" s="257"/>
    </row>
    <row r="912" ht="14.25" customHeight="1">
      <c r="A912" s="257"/>
      <c r="B912" s="257"/>
      <c r="C912" s="257"/>
      <c r="D912" s="257"/>
      <c r="E912" s="257"/>
      <c r="F912" s="257"/>
      <c r="G912" s="257"/>
      <c r="H912" s="257"/>
      <c r="I912" s="257"/>
      <c r="J912" s="257"/>
      <c r="K912" s="257"/>
      <c r="L912" s="257"/>
      <c r="M912" s="257"/>
      <c r="N912" s="257"/>
      <c r="O912" s="257"/>
      <c r="P912" s="257"/>
      <c r="Q912" s="257"/>
      <c r="R912" s="257"/>
      <c r="S912" s="257"/>
      <c r="T912" s="257"/>
      <c r="U912" s="257"/>
      <c r="V912" s="257"/>
      <c r="W912" s="257"/>
      <c r="X912" s="257"/>
      <c r="Y912" s="257"/>
      <c r="Z912" s="257"/>
    </row>
    <row r="913" ht="14.25" customHeight="1">
      <c r="A913" s="257"/>
      <c r="B913" s="257"/>
      <c r="C913" s="257"/>
      <c r="D913" s="257"/>
      <c r="E913" s="257"/>
      <c r="F913" s="257"/>
      <c r="G913" s="257"/>
      <c r="H913" s="257"/>
      <c r="I913" s="257"/>
      <c r="J913" s="257"/>
      <c r="K913" s="257"/>
      <c r="L913" s="257"/>
      <c r="M913" s="257"/>
      <c r="N913" s="257"/>
      <c r="O913" s="257"/>
      <c r="P913" s="257"/>
      <c r="Q913" s="257"/>
      <c r="R913" s="257"/>
      <c r="S913" s="257"/>
      <c r="T913" s="257"/>
      <c r="U913" s="257"/>
      <c r="V913" s="257"/>
      <c r="W913" s="257"/>
      <c r="X913" s="257"/>
      <c r="Y913" s="257"/>
      <c r="Z913" s="257"/>
    </row>
    <row r="914" ht="14.25" customHeight="1">
      <c r="A914" s="257"/>
      <c r="B914" s="257"/>
      <c r="C914" s="257"/>
      <c r="D914" s="257"/>
      <c r="E914" s="257"/>
      <c r="F914" s="257"/>
      <c r="G914" s="257"/>
      <c r="H914" s="257"/>
      <c r="I914" s="257"/>
      <c r="J914" s="257"/>
      <c r="K914" s="257"/>
      <c r="L914" s="257"/>
      <c r="M914" s="257"/>
      <c r="N914" s="257"/>
      <c r="O914" s="257"/>
      <c r="P914" s="257"/>
      <c r="Q914" s="257"/>
      <c r="R914" s="257"/>
      <c r="S914" s="257"/>
      <c r="T914" s="257"/>
      <c r="U914" s="257"/>
      <c r="V914" s="257"/>
      <c r="W914" s="257"/>
      <c r="X914" s="257"/>
      <c r="Y914" s="257"/>
      <c r="Z914" s="257"/>
    </row>
    <row r="915" ht="14.25" customHeight="1">
      <c r="A915" s="257"/>
      <c r="B915" s="257"/>
      <c r="C915" s="257"/>
      <c r="D915" s="257"/>
      <c r="E915" s="257"/>
      <c r="F915" s="257"/>
      <c r="G915" s="257"/>
      <c r="H915" s="257"/>
      <c r="I915" s="257"/>
      <c r="J915" s="257"/>
      <c r="K915" s="257"/>
      <c r="L915" s="257"/>
      <c r="M915" s="257"/>
      <c r="N915" s="257"/>
      <c r="O915" s="257"/>
      <c r="P915" s="257"/>
      <c r="Q915" s="257"/>
      <c r="R915" s="257"/>
      <c r="S915" s="257"/>
      <c r="T915" s="257"/>
      <c r="U915" s="257"/>
      <c r="V915" s="257"/>
      <c r="W915" s="257"/>
      <c r="X915" s="257"/>
      <c r="Y915" s="257"/>
      <c r="Z915" s="257"/>
    </row>
    <row r="916" ht="14.25" customHeight="1">
      <c r="A916" s="257"/>
      <c r="B916" s="257"/>
      <c r="C916" s="257"/>
      <c r="D916" s="257"/>
      <c r="E916" s="257"/>
      <c r="F916" s="257"/>
      <c r="G916" s="257"/>
      <c r="H916" s="257"/>
      <c r="I916" s="257"/>
      <c r="J916" s="257"/>
      <c r="K916" s="257"/>
      <c r="L916" s="257"/>
      <c r="M916" s="257"/>
      <c r="N916" s="257"/>
      <c r="O916" s="257"/>
      <c r="P916" s="257"/>
      <c r="Q916" s="257"/>
      <c r="R916" s="257"/>
      <c r="S916" s="257"/>
      <c r="T916" s="257"/>
      <c r="U916" s="257"/>
      <c r="V916" s="257"/>
      <c r="W916" s="257"/>
      <c r="X916" s="257"/>
      <c r="Y916" s="257"/>
      <c r="Z916" s="257"/>
    </row>
    <row r="917" ht="14.25" customHeight="1">
      <c r="A917" s="257"/>
      <c r="B917" s="257"/>
      <c r="C917" s="257"/>
      <c r="D917" s="257"/>
      <c r="E917" s="257"/>
      <c r="F917" s="257"/>
      <c r="G917" s="257"/>
      <c r="H917" s="257"/>
      <c r="I917" s="257"/>
      <c r="J917" s="257"/>
      <c r="K917" s="257"/>
      <c r="L917" s="257"/>
      <c r="M917" s="257"/>
      <c r="N917" s="257"/>
      <c r="O917" s="257"/>
      <c r="P917" s="257"/>
      <c r="Q917" s="257"/>
      <c r="R917" s="257"/>
      <c r="S917" s="257"/>
      <c r="T917" s="257"/>
      <c r="U917" s="257"/>
      <c r="V917" s="257"/>
      <c r="W917" s="257"/>
      <c r="X917" s="257"/>
      <c r="Y917" s="257"/>
      <c r="Z917" s="257"/>
    </row>
    <row r="918" ht="14.25" customHeight="1">
      <c r="A918" s="257"/>
      <c r="B918" s="257"/>
      <c r="C918" s="257"/>
      <c r="D918" s="257"/>
      <c r="E918" s="257"/>
      <c r="F918" s="257"/>
      <c r="G918" s="257"/>
      <c r="H918" s="257"/>
      <c r="I918" s="257"/>
      <c r="J918" s="257"/>
      <c r="K918" s="257"/>
      <c r="L918" s="257"/>
      <c r="M918" s="257"/>
      <c r="N918" s="257"/>
      <c r="O918" s="257"/>
      <c r="P918" s="257"/>
      <c r="Q918" s="257"/>
      <c r="R918" s="257"/>
      <c r="S918" s="257"/>
      <c r="T918" s="257"/>
      <c r="U918" s="257"/>
      <c r="V918" s="257"/>
      <c r="W918" s="257"/>
      <c r="X918" s="257"/>
      <c r="Y918" s="257"/>
      <c r="Z918" s="257"/>
    </row>
    <row r="919" ht="14.25" customHeight="1">
      <c r="A919" s="257"/>
      <c r="B919" s="257"/>
      <c r="C919" s="257"/>
      <c r="D919" s="257"/>
      <c r="E919" s="257"/>
      <c r="F919" s="257"/>
      <c r="G919" s="257"/>
      <c r="H919" s="257"/>
      <c r="I919" s="257"/>
      <c r="J919" s="257"/>
      <c r="K919" s="257"/>
      <c r="L919" s="257"/>
      <c r="M919" s="257"/>
      <c r="N919" s="257"/>
      <c r="O919" s="257"/>
      <c r="P919" s="257"/>
      <c r="Q919" s="257"/>
      <c r="R919" s="257"/>
      <c r="S919" s="257"/>
      <c r="T919" s="257"/>
      <c r="U919" s="257"/>
      <c r="V919" s="257"/>
      <c r="W919" s="257"/>
      <c r="X919" s="257"/>
      <c r="Y919" s="257"/>
      <c r="Z919" s="257"/>
    </row>
    <row r="920" ht="14.25" customHeight="1">
      <c r="A920" s="257"/>
      <c r="B920" s="257"/>
      <c r="C920" s="257"/>
      <c r="D920" s="257"/>
      <c r="E920" s="257"/>
      <c r="F920" s="257"/>
      <c r="G920" s="257"/>
      <c r="H920" s="257"/>
      <c r="I920" s="257"/>
      <c r="J920" s="257"/>
      <c r="K920" s="257"/>
      <c r="L920" s="257"/>
      <c r="M920" s="257"/>
      <c r="N920" s="257"/>
      <c r="O920" s="257"/>
      <c r="P920" s="257"/>
      <c r="Q920" s="257"/>
      <c r="R920" s="257"/>
      <c r="S920" s="257"/>
      <c r="T920" s="257"/>
      <c r="U920" s="257"/>
      <c r="V920" s="257"/>
      <c r="W920" s="257"/>
      <c r="X920" s="257"/>
      <c r="Y920" s="257"/>
      <c r="Z920" s="257"/>
    </row>
    <row r="921" ht="14.25" customHeight="1">
      <c r="A921" s="257"/>
      <c r="B921" s="257"/>
      <c r="C921" s="257"/>
      <c r="D921" s="257"/>
      <c r="E921" s="257"/>
      <c r="F921" s="257"/>
      <c r="G921" s="257"/>
      <c r="H921" s="257"/>
      <c r="I921" s="257"/>
      <c r="J921" s="257"/>
      <c r="K921" s="257"/>
      <c r="L921" s="257"/>
      <c r="M921" s="257"/>
      <c r="N921" s="257"/>
      <c r="O921" s="257"/>
      <c r="P921" s="257"/>
      <c r="Q921" s="257"/>
      <c r="R921" s="257"/>
      <c r="S921" s="257"/>
      <c r="T921" s="257"/>
      <c r="U921" s="257"/>
      <c r="V921" s="257"/>
      <c r="W921" s="257"/>
      <c r="X921" s="257"/>
      <c r="Y921" s="257"/>
      <c r="Z921" s="257"/>
    </row>
    <row r="922" ht="14.25" customHeight="1">
      <c r="A922" s="257"/>
      <c r="B922" s="257"/>
      <c r="C922" s="257"/>
      <c r="D922" s="257"/>
      <c r="E922" s="257"/>
      <c r="F922" s="257"/>
      <c r="G922" s="257"/>
      <c r="H922" s="257"/>
      <c r="I922" s="257"/>
      <c r="J922" s="257"/>
      <c r="K922" s="257"/>
      <c r="L922" s="257"/>
      <c r="M922" s="257"/>
      <c r="N922" s="257"/>
      <c r="O922" s="257"/>
      <c r="P922" s="257"/>
      <c r="Q922" s="257"/>
      <c r="R922" s="257"/>
      <c r="S922" s="257"/>
      <c r="T922" s="257"/>
      <c r="U922" s="257"/>
      <c r="V922" s="257"/>
      <c r="W922" s="257"/>
      <c r="X922" s="257"/>
      <c r="Y922" s="257"/>
      <c r="Z922" s="257"/>
    </row>
    <row r="923" ht="14.25" customHeight="1">
      <c r="A923" s="257"/>
      <c r="B923" s="257"/>
      <c r="C923" s="257"/>
      <c r="D923" s="257"/>
      <c r="E923" s="257"/>
      <c r="F923" s="257"/>
      <c r="G923" s="257"/>
      <c r="H923" s="257"/>
      <c r="I923" s="257"/>
      <c r="J923" s="257"/>
      <c r="K923" s="257"/>
      <c r="L923" s="257"/>
      <c r="M923" s="257"/>
      <c r="N923" s="257"/>
      <c r="O923" s="257"/>
      <c r="P923" s="257"/>
      <c r="Q923" s="257"/>
      <c r="R923" s="257"/>
      <c r="S923" s="257"/>
      <c r="T923" s="257"/>
      <c r="U923" s="257"/>
      <c r="V923" s="257"/>
      <c r="W923" s="257"/>
      <c r="X923" s="257"/>
      <c r="Y923" s="257"/>
      <c r="Z923" s="257"/>
    </row>
    <row r="924" ht="14.25" customHeight="1">
      <c r="A924" s="257"/>
      <c r="B924" s="257"/>
      <c r="C924" s="257"/>
      <c r="D924" s="257"/>
      <c r="E924" s="257"/>
      <c r="F924" s="257"/>
      <c r="G924" s="257"/>
      <c r="H924" s="257"/>
      <c r="I924" s="257"/>
      <c r="J924" s="257"/>
      <c r="K924" s="257"/>
      <c r="L924" s="257"/>
      <c r="M924" s="257"/>
      <c r="N924" s="257"/>
      <c r="O924" s="257"/>
      <c r="P924" s="257"/>
      <c r="Q924" s="257"/>
      <c r="R924" s="257"/>
      <c r="S924" s="257"/>
      <c r="T924" s="257"/>
      <c r="U924" s="257"/>
      <c r="V924" s="257"/>
      <c r="W924" s="257"/>
      <c r="X924" s="257"/>
      <c r="Y924" s="257"/>
      <c r="Z924" s="257"/>
    </row>
    <row r="925" ht="14.25" customHeight="1">
      <c r="A925" s="257"/>
      <c r="B925" s="257"/>
      <c r="C925" s="257"/>
      <c r="D925" s="257"/>
      <c r="E925" s="257"/>
      <c r="F925" s="257"/>
      <c r="G925" s="257"/>
      <c r="H925" s="257"/>
      <c r="I925" s="257"/>
      <c r="J925" s="257"/>
      <c r="K925" s="257"/>
      <c r="L925" s="257"/>
      <c r="M925" s="257"/>
      <c r="N925" s="257"/>
      <c r="O925" s="257"/>
      <c r="P925" s="257"/>
      <c r="Q925" s="257"/>
      <c r="R925" s="257"/>
      <c r="S925" s="257"/>
      <c r="T925" s="257"/>
      <c r="U925" s="257"/>
      <c r="V925" s="257"/>
      <c r="W925" s="257"/>
      <c r="X925" s="257"/>
      <c r="Y925" s="257"/>
      <c r="Z925" s="257"/>
    </row>
    <row r="926" ht="14.25" customHeight="1">
      <c r="A926" s="257"/>
      <c r="B926" s="257"/>
      <c r="C926" s="257"/>
      <c r="D926" s="257"/>
      <c r="E926" s="257"/>
      <c r="F926" s="257"/>
      <c r="G926" s="257"/>
      <c r="H926" s="257"/>
      <c r="I926" s="257"/>
      <c r="J926" s="257"/>
      <c r="K926" s="257"/>
      <c r="L926" s="257"/>
      <c r="M926" s="257"/>
      <c r="N926" s="257"/>
      <c r="O926" s="257"/>
      <c r="P926" s="257"/>
      <c r="Q926" s="257"/>
      <c r="R926" s="257"/>
      <c r="S926" s="257"/>
      <c r="T926" s="257"/>
      <c r="U926" s="257"/>
      <c r="V926" s="257"/>
      <c r="W926" s="257"/>
      <c r="X926" s="257"/>
      <c r="Y926" s="257"/>
      <c r="Z926" s="257"/>
    </row>
    <row r="927" ht="14.25" customHeight="1">
      <c r="A927" s="257"/>
      <c r="B927" s="257"/>
      <c r="C927" s="257"/>
      <c r="D927" s="257"/>
      <c r="E927" s="257"/>
      <c r="F927" s="257"/>
      <c r="G927" s="257"/>
      <c r="H927" s="257"/>
      <c r="I927" s="257"/>
      <c r="J927" s="257"/>
      <c r="K927" s="257"/>
      <c r="L927" s="257"/>
      <c r="M927" s="257"/>
      <c r="N927" s="257"/>
      <c r="O927" s="257"/>
      <c r="P927" s="257"/>
      <c r="Q927" s="257"/>
      <c r="R927" s="257"/>
      <c r="S927" s="257"/>
      <c r="T927" s="257"/>
      <c r="U927" s="257"/>
      <c r="V927" s="257"/>
      <c r="W927" s="257"/>
      <c r="X927" s="257"/>
      <c r="Y927" s="257"/>
      <c r="Z927" s="257"/>
    </row>
    <row r="928" ht="14.25" customHeight="1">
      <c r="A928" s="257"/>
      <c r="B928" s="257"/>
      <c r="C928" s="257"/>
      <c r="D928" s="257"/>
      <c r="E928" s="257"/>
      <c r="F928" s="257"/>
      <c r="G928" s="257"/>
      <c r="H928" s="257"/>
      <c r="I928" s="257"/>
      <c r="J928" s="257"/>
      <c r="K928" s="257"/>
      <c r="L928" s="257"/>
      <c r="M928" s="257"/>
      <c r="N928" s="257"/>
      <c r="O928" s="257"/>
      <c r="P928" s="257"/>
      <c r="Q928" s="257"/>
      <c r="R928" s="257"/>
      <c r="S928" s="257"/>
      <c r="T928" s="257"/>
      <c r="U928" s="257"/>
      <c r="V928" s="257"/>
      <c r="W928" s="257"/>
      <c r="X928" s="257"/>
      <c r="Y928" s="257"/>
      <c r="Z928" s="257"/>
    </row>
    <row r="929" ht="14.25" customHeight="1">
      <c r="A929" s="257"/>
      <c r="B929" s="257"/>
      <c r="C929" s="257"/>
      <c r="D929" s="257"/>
      <c r="E929" s="257"/>
      <c r="F929" s="257"/>
      <c r="G929" s="257"/>
      <c r="H929" s="257"/>
      <c r="I929" s="257"/>
      <c r="J929" s="257"/>
      <c r="K929" s="257"/>
      <c r="L929" s="257"/>
      <c r="M929" s="257"/>
      <c r="N929" s="257"/>
      <c r="O929" s="257"/>
      <c r="P929" s="257"/>
      <c r="Q929" s="257"/>
      <c r="R929" s="257"/>
      <c r="S929" s="257"/>
      <c r="T929" s="257"/>
      <c r="U929" s="257"/>
      <c r="V929" s="257"/>
      <c r="W929" s="257"/>
      <c r="X929" s="257"/>
      <c r="Y929" s="257"/>
      <c r="Z929" s="257"/>
    </row>
    <row r="930" ht="14.25" customHeight="1">
      <c r="A930" s="257"/>
      <c r="B930" s="257"/>
      <c r="C930" s="257"/>
      <c r="D930" s="257"/>
      <c r="E930" s="257"/>
      <c r="F930" s="257"/>
      <c r="G930" s="257"/>
      <c r="H930" s="257"/>
      <c r="I930" s="257"/>
      <c r="J930" s="257"/>
      <c r="K930" s="257"/>
      <c r="L930" s="257"/>
      <c r="M930" s="257"/>
      <c r="N930" s="257"/>
      <c r="O930" s="257"/>
      <c r="P930" s="257"/>
      <c r="Q930" s="257"/>
      <c r="R930" s="257"/>
      <c r="S930" s="257"/>
      <c r="T930" s="257"/>
      <c r="U930" s="257"/>
      <c r="V930" s="257"/>
      <c r="W930" s="257"/>
      <c r="X930" s="257"/>
      <c r="Y930" s="257"/>
      <c r="Z930" s="257"/>
    </row>
    <row r="931" ht="14.25" customHeight="1">
      <c r="A931" s="257"/>
      <c r="B931" s="257"/>
      <c r="C931" s="257"/>
      <c r="D931" s="257"/>
      <c r="E931" s="257"/>
      <c r="F931" s="257"/>
      <c r="G931" s="257"/>
      <c r="H931" s="257"/>
      <c r="I931" s="257"/>
      <c r="J931" s="257"/>
      <c r="K931" s="257"/>
      <c r="L931" s="257"/>
      <c r="M931" s="257"/>
      <c r="N931" s="257"/>
      <c r="O931" s="257"/>
      <c r="P931" s="257"/>
      <c r="Q931" s="257"/>
      <c r="R931" s="257"/>
      <c r="S931" s="257"/>
      <c r="T931" s="257"/>
      <c r="U931" s="257"/>
      <c r="V931" s="257"/>
      <c r="W931" s="257"/>
      <c r="X931" s="257"/>
      <c r="Y931" s="257"/>
      <c r="Z931" s="257"/>
    </row>
    <row r="932" ht="14.25" customHeight="1">
      <c r="A932" s="257"/>
      <c r="B932" s="257"/>
      <c r="C932" s="257"/>
      <c r="D932" s="257"/>
      <c r="E932" s="257"/>
      <c r="F932" s="257"/>
      <c r="G932" s="257"/>
      <c r="H932" s="257"/>
      <c r="I932" s="257"/>
      <c r="J932" s="257"/>
      <c r="K932" s="257"/>
      <c r="L932" s="257"/>
      <c r="M932" s="257"/>
      <c r="N932" s="257"/>
      <c r="O932" s="257"/>
      <c r="P932" s="257"/>
      <c r="Q932" s="257"/>
      <c r="R932" s="257"/>
      <c r="S932" s="257"/>
      <c r="T932" s="257"/>
      <c r="U932" s="257"/>
      <c r="V932" s="257"/>
      <c r="W932" s="257"/>
      <c r="X932" s="257"/>
      <c r="Y932" s="257"/>
      <c r="Z932" s="257"/>
    </row>
    <row r="933" ht="14.25" customHeight="1">
      <c r="A933" s="257"/>
      <c r="B933" s="257"/>
      <c r="C933" s="257"/>
      <c r="D933" s="257"/>
      <c r="E933" s="257"/>
      <c r="F933" s="257"/>
      <c r="G933" s="257"/>
      <c r="H933" s="257"/>
      <c r="I933" s="257"/>
      <c r="J933" s="257"/>
      <c r="K933" s="257"/>
      <c r="L933" s="257"/>
      <c r="M933" s="257"/>
      <c r="N933" s="257"/>
      <c r="O933" s="257"/>
      <c r="P933" s="257"/>
      <c r="Q933" s="257"/>
      <c r="R933" s="257"/>
      <c r="S933" s="257"/>
      <c r="T933" s="257"/>
      <c r="U933" s="257"/>
      <c r="V933" s="257"/>
      <c r="W933" s="257"/>
      <c r="X933" s="257"/>
      <c r="Y933" s="257"/>
      <c r="Z933" s="257"/>
    </row>
    <row r="934" ht="14.25" customHeight="1">
      <c r="A934" s="257"/>
      <c r="B934" s="257"/>
      <c r="C934" s="257"/>
      <c r="D934" s="257"/>
      <c r="E934" s="257"/>
      <c r="F934" s="257"/>
      <c r="G934" s="257"/>
      <c r="H934" s="257"/>
      <c r="I934" s="257"/>
      <c r="J934" s="257"/>
      <c r="K934" s="257"/>
      <c r="L934" s="257"/>
      <c r="M934" s="257"/>
      <c r="N934" s="257"/>
      <c r="O934" s="257"/>
      <c r="P934" s="257"/>
      <c r="Q934" s="257"/>
      <c r="R934" s="257"/>
      <c r="S934" s="257"/>
      <c r="T934" s="257"/>
      <c r="U934" s="257"/>
      <c r="V934" s="257"/>
      <c r="W934" s="257"/>
      <c r="X934" s="257"/>
      <c r="Y934" s="257"/>
      <c r="Z934" s="257"/>
    </row>
    <row r="935" ht="14.25" customHeight="1">
      <c r="A935" s="257"/>
      <c r="B935" s="257"/>
      <c r="C935" s="257"/>
      <c r="D935" s="257"/>
      <c r="E935" s="257"/>
      <c r="F935" s="257"/>
      <c r="G935" s="257"/>
      <c r="H935" s="257"/>
      <c r="I935" s="257"/>
      <c r="J935" s="257"/>
      <c r="K935" s="257"/>
      <c r="L935" s="257"/>
      <c r="M935" s="257"/>
      <c r="N935" s="257"/>
      <c r="O935" s="257"/>
      <c r="P935" s="257"/>
      <c r="Q935" s="257"/>
      <c r="R935" s="257"/>
      <c r="S935" s="257"/>
      <c r="T935" s="257"/>
      <c r="U935" s="257"/>
      <c r="V935" s="257"/>
      <c r="W935" s="257"/>
      <c r="X935" s="257"/>
      <c r="Y935" s="257"/>
      <c r="Z935" s="257"/>
    </row>
    <row r="936" ht="14.25" customHeight="1">
      <c r="A936" s="257"/>
      <c r="B936" s="257"/>
      <c r="C936" s="257"/>
      <c r="D936" s="257"/>
      <c r="E936" s="257"/>
      <c r="F936" s="257"/>
      <c r="G936" s="257"/>
      <c r="H936" s="257"/>
      <c r="I936" s="257"/>
      <c r="J936" s="257"/>
      <c r="K936" s="257"/>
      <c r="L936" s="257"/>
      <c r="M936" s="257"/>
      <c r="N936" s="257"/>
      <c r="O936" s="257"/>
      <c r="P936" s="257"/>
      <c r="Q936" s="257"/>
      <c r="R936" s="257"/>
      <c r="S936" s="257"/>
      <c r="T936" s="257"/>
      <c r="U936" s="257"/>
      <c r="V936" s="257"/>
      <c r="W936" s="257"/>
      <c r="X936" s="257"/>
      <c r="Y936" s="257"/>
      <c r="Z936" s="257"/>
    </row>
    <row r="937" ht="14.25" customHeight="1">
      <c r="A937" s="257"/>
      <c r="B937" s="257"/>
      <c r="C937" s="257"/>
      <c r="D937" s="257"/>
      <c r="E937" s="257"/>
      <c r="F937" s="257"/>
      <c r="G937" s="257"/>
      <c r="H937" s="257"/>
      <c r="I937" s="257"/>
      <c r="J937" s="257"/>
      <c r="K937" s="257"/>
      <c r="L937" s="257"/>
      <c r="M937" s="257"/>
      <c r="N937" s="257"/>
      <c r="O937" s="257"/>
      <c r="P937" s="257"/>
      <c r="Q937" s="257"/>
      <c r="R937" s="257"/>
      <c r="S937" s="257"/>
      <c r="T937" s="257"/>
      <c r="U937" s="257"/>
      <c r="V937" s="257"/>
      <c r="W937" s="257"/>
      <c r="X937" s="257"/>
      <c r="Y937" s="257"/>
      <c r="Z937" s="257"/>
    </row>
    <row r="938" ht="14.25" customHeight="1">
      <c r="A938" s="257"/>
      <c r="B938" s="257"/>
      <c r="C938" s="257"/>
      <c r="D938" s="257"/>
      <c r="E938" s="257"/>
      <c r="F938" s="257"/>
      <c r="G938" s="257"/>
      <c r="H938" s="257"/>
      <c r="I938" s="257"/>
      <c r="J938" s="257"/>
      <c r="K938" s="257"/>
      <c r="L938" s="257"/>
      <c r="M938" s="257"/>
      <c r="N938" s="257"/>
      <c r="O938" s="257"/>
      <c r="P938" s="257"/>
      <c r="Q938" s="257"/>
      <c r="R938" s="257"/>
      <c r="S938" s="257"/>
      <c r="T938" s="257"/>
      <c r="U938" s="257"/>
      <c r="V938" s="257"/>
      <c r="W938" s="257"/>
      <c r="X938" s="257"/>
      <c r="Y938" s="257"/>
      <c r="Z938" s="257"/>
    </row>
    <row r="939" ht="14.25" customHeight="1">
      <c r="A939" s="257"/>
      <c r="B939" s="257"/>
      <c r="C939" s="257"/>
      <c r="D939" s="257"/>
      <c r="E939" s="257"/>
      <c r="F939" s="257"/>
      <c r="G939" s="257"/>
      <c r="H939" s="257"/>
      <c r="I939" s="257"/>
      <c r="J939" s="257"/>
      <c r="K939" s="257"/>
      <c r="L939" s="257"/>
      <c r="M939" s="257"/>
      <c r="N939" s="257"/>
      <c r="O939" s="257"/>
      <c r="P939" s="257"/>
      <c r="Q939" s="257"/>
      <c r="R939" s="257"/>
      <c r="S939" s="257"/>
      <c r="T939" s="257"/>
      <c r="U939" s="257"/>
      <c r="V939" s="257"/>
      <c r="W939" s="257"/>
      <c r="X939" s="257"/>
      <c r="Y939" s="257"/>
      <c r="Z939" s="257"/>
    </row>
    <row r="940" ht="14.25" customHeight="1">
      <c r="A940" s="257"/>
      <c r="B940" s="257"/>
      <c r="C940" s="257"/>
      <c r="D940" s="257"/>
      <c r="E940" s="257"/>
      <c r="F940" s="257"/>
      <c r="G940" s="257"/>
      <c r="H940" s="257"/>
      <c r="I940" s="257"/>
      <c r="J940" s="257"/>
      <c r="K940" s="257"/>
      <c r="L940" s="257"/>
      <c r="M940" s="257"/>
      <c r="N940" s="257"/>
      <c r="O940" s="257"/>
      <c r="P940" s="257"/>
      <c r="Q940" s="257"/>
      <c r="R940" s="257"/>
      <c r="S940" s="257"/>
      <c r="T940" s="257"/>
      <c r="U940" s="257"/>
      <c r="V940" s="257"/>
      <c r="W940" s="257"/>
      <c r="X940" s="257"/>
      <c r="Y940" s="257"/>
      <c r="Z940" s="257"/>
    </row>
    <row r="941" ht="14.25" customHeight="1">
      <c r="A941" s="257"/>
      <c r="B941" s="257"/>
      <c r="C941" s="257"/>
      <c r="D941" s="257"/>
      <c r="E941" s="257"/>
      <c r="F941" s="257"/>
      <c r="G941" s="257"/>
      <c r="H941" s="257"/>
      <c r="I941" s="257"/>
      <c r="J941" s="257"/>
      <c r="K941" s="257"/>
      <c r="L941" s="257"/>
      <c r="M941" s="257"/>
      <c r="N941" s="257"/>
      <c r="O941" s="257"/>
      <c r="P941" s="257"/>
      <c r="Q941" s="257"/>
      <c r="R941" s="257"/>
      <c r="S941" s="257"/>
      <c r="T941" s="257"/>
      <c r="U941" s="257"/>
      <c r="V941" s="257"/>
      <c r="W941" s="257"/>
      <c r="X941" s="257"/>
      <c r="Y941" s="257"/>
      <c r="Z941" s="257"/>
    </row>
    <row r="942" ht="14.25" customHeight="1">
      <c r="A942" s="257"/>
      <c r="B942" s="257"/>
      <c r="C942" s="257"/>
      <c r="D942" s="257"/>
      <c r="E942" s="257"/>
      <c r="F942" s="257"/>
      <c r="G942" s="257"/>
      <c r="H942" s="257"/>
      <c r="I942" s="257"/>
      <c r="J942" s="257"/>
      <c r="K942" s="257"/>
      <c r="L942" s="257"/>
      <c r="M942" s="257"/>
      <c r="N942" s="257"/>
      <c r="O942" s="257"/>
      <c r="P942" s="257"/>
      <c r="Q942" s="257"/>
      <c r="R942" s="257"/>
      <c r="S942" s="257"/>
      <c r="T942" s="257"/>
      <c r="U942" s="257"/>
      <c r="V942" s="257"/>
      <c r="W942" s="257"/>
      <c r="X942" s="257"/>
      <c r="Y942" s="257"/>
      <c r="Z942" s="257"/>
    </row>
    <row r="943" ht="14.25" customHeight="1">
      <c r="A943" s="257"/>
      <c r="B943" s="257"/>
      <c r="C943" s="257"/>
      <c r="D943" s="257"/>
      <c r="E943" s="257"/>
      <c r="F943" s="257"/>
      <c r="G943" s="257"/>
      <c r="H943" s="257"/>
      <c r="I943" s="257"/>
      <c r="J943" s="257"/>
      <c r="K943" s="257"/>
      <c r="L943" s="257"/>
      <c r="M943" s="257"/>
      <c r="N943" s="257"/>
      <c r="O943" s="257"/>
      <c r="P943" s="257"/>
      <c r="Q943" s="257"/>
      <c r="R943" s="257"/>
      <c r="S943" s="257"/>
      <c r="T943" s="257"/>
      <c r="U943" s="257"/>
      <c r="V943" s="257"/>
      <c r="W943" s="257"/>
      <c r="X943" s="257"/>
      <c r="Y943" s="257"/>
      <c r="Z943" s="257"/>
    </row>
    <row r="944" ht="14.25" customHeight="1">
      <c r="A944" s="257"/>
      <c r="B944" s="257"/>
      <c r="C944" s="257"/>
      <c r="D944" s="257"/>
      <c r="E944" s="257"/>
      <c r="F944" s="257"/>
      <c r="G944" s="257"/>
      <c r="H944" s="257"/>
      <c r="I944" s="257"/>
      <c r="J944" s="257"/>
      <c r="K944" s="257"/>
      <c r="L944" s="257"/>
      <c r="M944" s="257"/>
      <c r="N944" s="257"/>
      <c r="O944" s="257"/>
      <c r="P944" s="257"/>
      <c r="Q944" s="257"/>
      <c r="R944" s="257"/>
      <c r="S944" s="257"/>
      <c r="T944" s="257"/>
      <c r="U944" s="257"/>
      <c r="V944" s="257"/>
      <c r="W944" s="257"/>
      <c r="X944" s="257"/>
      <c r="Y944" s="257"/>
      <c r="Z944" s="257"/>
    </row>
    <row r="945" ht="14.25" customHeight="1">
      <c r="A945" s="257"/>
      <c r="B945" s="257"/>
      <c r="C945" s="257"/>
      <c r="D945" s="257"/>
      <c r="E945" s="257"/>
      <c r="F945" s="257"/>
      <c r="G945" s="257"/>
      <c r="H945" s="257"/>
      <c r="I945" s="257"/>
      <c r="J945" s="257"/>
      <c r="K945" s="257"/>
      <c r="L945" s="257"/>
      <c r="M945" s="257"/>
      <c r="N945" s="257"/>
      <c r="O945" s="257"/>
      <c r="P945" s="257"/>
      <c r="Q945" s="257"/>
      <c r="R945" s="257"/>
      <c r="S945" s="257"/>
      <c r="T945" s="257"/>
      <c r="U945" s="257"/>
      <c r="V945" s="257"/>
      <c r="W945" s="257"/>
      <c r="X945" s="257"/>
      <c r="Y945" s="257"/>
      <c r="Z945" s="257"/>
    </row>
    <row r="946" ht="14.25" customHeight="1">
      <c r="A946" s="257"/>
      <c r="B946" s="257"/>
      <c r="C946" s="257"/>
      <c r="D946" s="257"/>
      <c r="E946" s="257"/>
      <c r="F946" s="257"/>
      <c r="G946" s="257"/>
      <c r="H946" s="257"/>
      <c r="I946" s="257"/>
      <c r="J946" s="257"/>
      <c r="K946" s="257"/>
      <c r="L946" s="257"/>
      <c r="M946" s="257"/>
      <c r="N946" s="257"/>
      <c r="O946" s="257"/>
      <c r="P946" s="257"/>
      <c r="Q946" s="257"/>
      <c r="R946" s="257"/>
      <c r="S946" s="257"/>
      <c r="T946" s="257"/>
      <c r="U946" s="257"/>
      <c r="V946" s="257"/>
      <c r="W946" s="257"/>
      <c r="X946" s="257"/>
      <c r="Y946" s="257"/>
      <c r="Z946" s="257"/>
    </row>
    <row r="947" ht="14.25" customHeight="1">
      <c r="A947" s="257"/>
      <c r="B947" s="257"/>
      <c r="C947" s="257"/>
      <c r="D947" s="257"/>
      <c r="E947" s="257"/>
      <c r="F947" s="257"/>
      <c r="G947" s="257"/>
      <c r="H947" s="257"/>
      <c r="I947" s="257"/>
      <c r="J947" s="257"/>
      <c r="K947" s="257"/>
      <c r="L947" s="257"/>
      <c r="M947" s="257"/>
      <c r="N947" s="257"/>
      <c r="O947" s="257"/>
      <c r="P947" s="257"/>
      <c r="Q947" s="257"/>
      <c r="R947" s="257"/>
      <c r="S947" s="257"/>
      <c r="T947" s="257"/>
      <c r="U947" s="257"/>
      <c r="V947" s="257"/>
      <c r="W947" s="257"/>
      <c r="X947" s="257"/>
      <c r="Y947" s="257"/>
      <c r="Z947" s="257"/>
    </row>
    <row r="948" ht="14.25" customHeight="1">
      <c r="A948" s="257"/>
      <c r="B948" s="257"/>
      <c r="C948" s="257"/>
      <c r="D948" s="257"/>
      <c r="E948" s="257"/>
      <c r="F948" s="257"/>
      <c r="G948" s="257"/>
      <c r="H948" s="257"/>
      <c r="I948" s="257"/>
      <c r="J948" s="257"/>
      <c r="K948" s="257"/>
      <c r="L948" s="257"/>
      <c r="M948" s="257"/>
      <c r="N948" s="257"/>
      <c r="O948" s="257"/>
      <c r="P948" s="257"/>
      <c r="Q948" s="257"/>
      <c r="R948" s="257"/>
      <c r="S948" s="257"/>
      <c r="T948" s="257"/>
      <c r="U948" s="257"/>
      <c r="V948" s="257"/>
      <c r="W948" s="257"/>
      <c r="X948" s="257"/>
      <c r="Y948" s="257"/>
      <c r="Z948" s="257"/>
    </row>
    <row r="949" ht="14.25" customHeight="1">
      <c r="A949" s="257"/>
      <c r="B949" s="257"/>
      <c r="C949" s="257"/>
      <c r="D949" s="257"/>
      <c r="E949" s="257"/>
      <c r="F949" s="257"/>
      <c r="G949" s="257"/>
      <c r="H949" s="257"/>
      <c r="I949" s="257"/>
      <c r="J949" s="257"/>
      <c r="K949" s="257"/>
      <c r="L949" s="257"/>
      <c r="M949" s="257"/>
      <c r="N949" s="257"/>
      <c r="O949" s="257"/>
      <c r="P949" s="257"/>
      <c r="Q949" s="257"/>
      <c r="R949" s="257"/>
      <c r="S949" s="257"/>
      <c r="T949" s="257"/>
      <c r="U949" s="257"/>
      <c r="V949" s="257"/>
      <c r="W949" s="257"/>
      <c r="X949" s="257"/>
      <c r="Y949" s="257"/>
      <c r="Z949" s="257"/>
    </row>
    <row r="950" ht="14.25" customHeight="1">
      <c r="A950" s="257"/>
      <c r="B950" s="257"/>
      <c r="C950" s="257"/>
      <c r="D950" s="257"/>
      <c r="E950" s="257"/>
      <c r="F950" s="257"/>
      <c r="G950" s="257"/>
      <c r="H950" s="257"/>
      <c r="I950" s="257"/>
      <c r="J950" s="257"/>
      <c r="K950" s="257"/>
      <c r="L950" s="257"/>
      <c r="M950" s="257"/>
      <c r="N950" s="257"/>
      <c r="O950" s="257"/>
      <c r="P950" s="257"/>
      <c r="Q950" s="257"/>
      <c r="R950" s="257"/>
      <c r="S950" s="257"/>
      <c r="T950" s="257"/>
      <c r="U950" s="257"/>
      <c r="V950" s="257"/>
      <c r="W950" s="257"/>
      <c r="X950" s="257"/>
      <c r="Y950" s="257"/>
      <c r="Z950" s="257"/>
    </row>
    <row r="951" ht="14.25" customHeight="1">
      <c r="A951" s="257"/>
      <c r="B951" s="257"/>
      <c r="C951" s="257"/>
      <c r="D951" s="257"/>
      <c r="E951" s="257"/>
      <c r="F951" s="257"/>
      <c r="G951" s="257"/>
      <c r="H951" s="257"/>
      <c r="I951" s="257"/>
      <c r="J951" s="257"/>
      <c r="K951" s="257"/>
      <c r="L951" s="257"/>
      <c r="M951" s="257"/>
      <c r="N951" s="257"/>
      <c r="O951" s="257"/>
      <c r="P951" s="257"/>
      <c r="Q951" s="257"/>
      <c r="R951" s="257"/>
      <c r="S951" s="257"/>
      <c r="T951" s="257"/>
      <c r="U951" s="257"/>
      <c r="V951" s="257"/>
      <c r="W951" s="257"/>
      <c r="X951" s="257"/>
      <c r="Y951" s="257"/>
      <c r="Z951" s="257"/>
    </row>
    <row r="952" ht="14.25" customHeight="1">
      <c r="A952" s="257"/>
      <c r="B952" s="257"/>
      <c r="C952" s="257"/>
      <c r="D952" s="257"/>
      <c r="E952" s="257"/>
      <c r="F952" s="257"/>
      <c r="G952" s="257"/>
      <c r="H952" s="257"/>
      <c r="I952" s="257"/>
      <c r="J952" s="257"/>
      <c r="K952" s="257"/>
      <c r="L952" s="257"/>
      <c r="M952" s="257"/>
      <c r="N952" s="257"/>
      <c r="O952" s="257"/>
      <c r="P952" s="257"/>
      <c r="Q952" s="257"/>
      <c r="R952" s="257"/>
      <c r="S952" s="257"/>
      <c r="T952" s="257"/>
      <c r="U952" s="257"/>
      <c r="V952" s="257"/>
      <c r="W952" s="257"/>
      <c r="X952" s="257"/>
      <c r="Y952" s="257"/>
      <c r="Z952" s="257"/>
    </row>
    <row r="953" ht="14.25" customHeight="1">
      <c r="A953" s="257"/>
      <c r="B953" s="257"/>
      <c r="C953" s="257"/>
      <c r="D953" s="257"/>
      <c r="E953" s="257"/>
      <c r="F953" s="257"/>
      <c r="G953" s="257"/>
      <c r="H953" s="257"/>
      <c r="I953" s="257"/>
      <c r="J953" s="257"/>
      <c r="K953" s="257"/>
      <c r="L953" s="257"/>
      <c r="M953" s="257"/>
      <c r="N953" s="257"/>
      <c r="O953" s="257"/>
      <c r="P953" s="257"/>
      <c r="Q953" s="257"/>
      <c r="R953" s="257"/>
      <c r="S953" s="257"/>
      <c r="T953" s="257"/>
      <c r="U953" s="257"/>
      <c r="V953" s="257"/>
      <c r="W953" s="257"/>
      <c r="X953" s="257"/>
      <c r="Y953" s="257"/>
      <c r="Z953" s="257"/>
    </row>
    <row r="954" ht="14.25" customHeight="1">
      <c r="A954" s="257"/>
      <c r="B954" s="257"/>
      <c r="C954" s="257"/>
      <c r="D954" s="257"/>
      <c r="E954" s="257"/>
      <c r="F954" s="257"/>
      <c r="G954" s="257"/>
      <c r="H954" s="257"/>
      <c r="I954" s="257"/>
      <c r="J954" s="257"/>
      <c r="K954" s="257"/>
      <c r="L954" s="257"/>
      <c r="M954" s="257"/>
      <c r="N954" s="257"/>
      <c r="O954" s="257"/>
      <c r="P954" s="257"/>
      <c r="Q954" s="257"/>
      <c r="R954" s="257"/>
      <c r="S954" s="257"/>
      <c r="T954" s="257"/>
      <c r="U954" s="257"/>
      <c r="V954" s="257"/>
      <c r="W954" s="257"/>
      <c r="X954" s="257"/>
      <c r="Y954" s="257"/>
      <c r="Z954" s="257"/>
    </row>
    <row r="955" ht="14.25" customHeight="1">
      <c r="A955" s="257"/>
      <c r="B955" s="257"/>
      <c r="C955" s="257"/>
      <c r="D955" s="257"/>
      <c r="E955" s="257"/>
      <c r="F955" s="257"/>
      <c r="G955" s="257"/>
      <c r="H955" s="257"/>
      <c r="I955" s="257"/>
      <c r="J955" s="257"/>
      <c r="K955" s="257"/>
      <c r="L955" s="257"/>
      <c r="M955" s="257"/>
      <c r="N955" s="257"/>
      <c r="O955" s="257"/>
      <c r="P955" s="257"/>
      <c r="Q955" s="257"/>
      <c r="R955" s="257"/>
      <c r="S955" s="257"/>
      <c r="T955" s="257"/>
      <c r="U955" s="257"/>
      <c r="V955" s="257"/>
      <c r="W955" s="257"/>
      <c r="X955" s="257"/>
      <c r="Y955" s="257"/>
      <c r="Z955" s="257"/>
    </row>
    <row r="956" ht="14.25" customHeight="1">
      <c r="A956" s="257"/>
      <c r="B956" s="257"/>
      <c r="C956" s="257"/>
      <c r="D956" s="257"/>
      <c r="E956" s="257"/>
      <c r="F956" s="257"/>
      <c r="G956" s="257"/>
      <c r="H956" s="257"/>
      <c r="I956" s="257"/>
      <c r="J956" s="257"/>
      <c r="K956" s="257"/>
      <c r="L956" s="257"/>
      <c r="M956" s="257"/>
      <c r="N956" s="257"/>
      <c r="O956" s="257"/>
      <c r="P956" s="257"/>
      <c r="Q956" s="257"/>
      <c r="R956" s="257"/>
      <c r="S956" s="257"/>
      <c r="T956" s="257"/>
      <c r="U956" s="257"/>
      <c r="V956" s="257"/>
      <c r="W956" s="257"/>
      <c r="X956" s="257"/>
      <c r="Y956" s="257"/>
      <c r="Z956" s="257"/>
    </row>
    <row r="957" ht="14.25" customHeight="1">
      <c r="A957" s="257"/>
      <c r="B957" s="257"/>
      <c r="C957" s="257"/>
      <c r="D957" s="257"/>
      <c r="E957" s="257"/>
      <c r="F957" s="257"/>
      <c r="G957" s="257"/>
      <c r="H957" s="257"/>
      <c r="I957" s="257"/>
      <c r="J957" s="257"/>
      <c r="K957" s="257"/>
      <c r="L957" s="257"/>
      <c r="M957" s="257"/>
      <c r="N957" s="257"/>
      <c r="O957" s="257"/>
      <c r="P957" s="257"/>
      <c r="Q957" s="257"/>
      <c r="R957" s="257"/>
      <c r="S957" s="257"/>
      <c r="T957" s="257"/>
      <c r="U957" s="257"/>
      <c r="V957" s="257"/>
      <c r="W957" s="257"/>
      <c r="X957" s="257"/>
      <c r="Y957" s="257"/>
      <c r="Z957" s="257"/>
    </row>
    <row r="958" ht="14.25" customHeight="1">
      <c r="A958" s="257"/>
      <c r="B958" s="257"/>
      <c r="C958" s="257"/>
      <c r="D958" s="257"/>
      <c r="E958" s="257"/>
      <c r="F958" s="257"/>
      <c r="G958" s="257"/>
      <c r="H958" s="257"/>
      <c r="I958" s="257"/>
      <c r="J958" s="257"/>
      <c r="K958" s="257"/>
      <c r="L958" s="257"/>
      <c r="M958" s="257"/>
      <c r="N958" s="257"/>
      <c r="O958" s="257"/>
      <c r="P958" s="257"/>
      <c r="Q958" s="257"/>
      <c r="R958" s="257"/>
      <c r="S958" s="257"/>
      <c r="T958" s="257"/>
      <c r="U958" s="257"/>
      <c r="V958" s="257"/>
      <c r="W958" s="257"/>
      <c r="X958" s="257"/>
      <c r="Y958" s="257"/>
      <c r="Z958" s="257"/>
    </row>
    <row r="959" ht="14.25" customHeight="1">
      <c r="A959" s="257"/>
      <c r="B959" s="257"/>
      <c r="C959" s="257"/>
      <c r="D959" s="257"/>
      <c r="E959" s="257"/>
      <c r="F959" s="257"/>
      <c r="G959" s="257"/>
      <c r="H959" s="257"/>
      <c r="I959" s="257"/>
      <c r="J959" s="257"/>
      <c r="K959" s="257"/>
      <c r="L959" s="257"/>
      <c r="M959" s="257"/>
      <c r="N959" s="257"/>
      <c r="O959" s="257"/>
      <c r="P959" s="257"/>
      <c r="Q959" s="257"/>
      <c r="R959" s="257"/>
      <c r="S959" s="257"/>
      <c r="T959" s="257"/>
      <c r="U959" s="257"/>
      <c r="V959" s="257"/>
      <c r="W959" s="257"/>
      <c r="X959" s="257"/>
      <c r="Y959" s="257"/>
      <c r="Z959" s="257"/>
    </row>
    <row r="960" ht="14.25" customHeight="1">
      <c r="A960" s="257"/>
      <c r="B960" s="257"/>
      <c r="C960" s="257"/>
      <c r="D960" s="257"/>
      <c r="E960" s="257"/>
      <c r="F960" s="257"/>
      <c r="G960" s="257"/>
      <c r="H960" s="257"/>
      <c r="I960" s="257"/>
      <c r="J960" s="257"/>
      <c r="K960" s="257"/>
      <c r="L960" s="257"/>
      <c r="M960" s="257"/>
      <c r="N960" s="257"/>
      <c r="O960" s="257"/>
      <c r="P960" s="257"/>
      <c r="Q960" s="257"/>
      <c r="R960" s="257"/>
      <c r="S960" s="257"/>
      <c r="T960" s="257"/>
      <c r="U960" s="257"/>
      <c r="V960" s="257"/>
      <c r="W960" s="257"/>
      <c r="X960" s="257"/>
      <c r="Y960" s="257"/>
      <c r="Z960" s="257"/>
    </row>
    <row r="961" ht="14.25" customHeight="1">
      <c r="A961" s="257"/>
      <c r="B961" s="257"/>
      <c r="C961" s="257"/>
      <c r="D961" s="257"/>
      <c r="E961" s="257"/>
      <c r="F961" s="257"/>
      <c r="G961" s="257"/>
      <c r="H961" s="257"/>
      <c r="I961" s="257"/>
      <c r="J961" s="257"/>
      <c r="K961" s="257"/>
      <c r="L961" s="257"/>
      <c r="M961" s="257"/>
      <c r="N961" s="257"/>
      <c r="O961" s="257"/>
      <c r="P961" s="257"/>
      <c r="Q961" s="257"/>
      <c r="R961" s="257"/>
      <c r="S961" s="257"/>
      <c r="T961" s="257"/>
      <c r="U961" s="257"/>
      <c r="V961" s="257"/>
      <c r="W961" s="257"/>
      <c r="X961" s="257"/>
      <c r="Y961" s="257"/>
      <c r="Z961" s="257"/>
    </row>
    <row r="962" ht="14.25" customHeight="1">
      <c r="A962" s="257"/>
      <c r="B962" s="257"/>
      <c r="C962" s="257"/>
      <c r="D962" s="257"/>
      <c r="E962" s="257"/>
      <c r="F962" s="257"/>
      <c r="G962" s="257"/>
      <c r="H962" s="257"/>
      <c r="I962" s="257"/>
      <c r="J962" s="257"/>
      <c r="K962" s="257"/>
      <c r="L962" s="257"/>
      <c r="M962" s="257"/>
      <c r="N962" s="257"/>
      <c r="O962" s="257"/>
      <c r="P962" s="257"/>
      <c r="Q962" s="257"/>
      <c r="R962" s="257"/>
      <c r="S962" s="257"/>
      <c r="T962" s="257"/>
      <c r="U962" s="257"/>
      <c r="V962" s="257"/>
      <c r="W962" s="257"/>
      <c r="X962" s="257"/>
      <c r="Y962" s="257"/>
      <c r="Z962" s="257"/>
    </row>
    <row r="963" ht="14.25" customHeight="1">
      <c r="A963" s="257"/>
      <c r="B963" s="257"/>
      <c r="C963" s="257"/>
      <c r="D963" s="257"/>
      <c r="E963" s="257"/>
      <c r="F963" s="257"/>
      <c r="G963" s="257"/>
      <c r="H963" s="257"/>
      <c r="I963" s="257"/>
      <c r="J963" s="257"/>
      <c r="K963" s="257"/>
      <c r="L963" s="257"/>
      <c r="M963" s="257"/>
      <c r="N963" s="257"/>
      <c r="O963" s="257"/>
      <c r="P963" s="257"/>
      <c r="Q963" s="257"/>
      <c r="R963" s="257"/>
      <c r="S963" s="257"/>
      <c r="T963" s="257"/>
      <c r="U963" s="257"/>
      <c r="V963" s="257"/>
      <c r="W963" s="257"/>
      <c r="X963" s="257"/>
      <c r="Y963" s="257"/>
      <c r="Z963" s="257"/>
    </row>
    <row r="964" ht="14.25" customHeight="1">
      <c r="A964" s="257"/>
      <c r="B964" s="257"/>
      <c r="C964" s="257"/>
      <c r="D964" s="257"/>
      <c r="E964" s="257"/>
      <c r="F964" s="257"/>
      <c r="G964" s="257"/>
      <c r="H964" s="257"/>
      <c r="I964" s="257"/>
      <c r="J964" s="257"/>
      <c r="K964" s="257"/>
      <c r="L964" s="257"/>
      <c r="M964" s="257"/>
      <c r="N964" s="257"/>
      <c r="O964" s="257"/>
      <c r="P964" s="257"/>
      <c r="Q964" s="257"/>
      <c r="R964" s="257"/>
      <c r="S964" s="257"/>
      <c r="T964" s="257"/>
      <c r="U964" s="257"/>
      <c r="V964" s="257"/>
      <c r="W964" s="257"/>
      <c r="X964" s="257"/>
      <c r="Y964" s="257"/>
      <c r="Z964" s="257"/>
    </row>
    <row r="965" ht="14.25" customHeight="1">
      <c r="A965" s="257"/>
      <c r="B965" s="257"/>
      <c r="C965" s="257"/>
      <c r="D965" s="257"/>
      <c r="E965" s="257"/>
      <c r="F965" s="257"/>
      <c r="G965" s="257"/>
      <c r="H965" s="257"/>
      <c r="I965" s="257"/>
      <c r="J965" s="257"/>
      <c r="K965" s="257"/>
      <c r="L965" s="257"/>
      <c r="M965" s="257"/>
      <c r="N965" s="257"/>
      <c r="O965" s="257"/>
      <c r="P965" s="257"/>
      <c r="Q965" s="257"/>
      <c r="R965" s="257"/>
      <c r="S965" s="257"/>
      <c r="T965" s="257"/>
      <c r="U965" s="257"/>
      <c r="V965" s="257"/>
      <c r="W965" s="257"/>
      <c r="X965" s="257"/>
      <c r="Y965" s="257"/>
      <c r="Z965" s="257"/>
    </row>
    <row r="966" ht="14.25" customHeight="1">
      <c r="A966" s="257"/>
      <c r="B966" s="257"/>
      <c r="C966" s="257"/>
      <c r="D966" s="257"/>
      <c r="E966" s="257"/>
      <c r="F966" s="257"/>
      <c r="G966" s="257"/>
      <c r="H966" s="257"/>
      <c r="I966" s="257"/>
      <c r="J966" s="257"/>
      <c r="K966" s="257"/>
      <c r="L966" s="257"/>
      <c r="M966" s="257"/>
      <c r="N966" s="257"/>
      <c r="O966" s="257"/>
      <c r="P966" s="257"/>
      <c r="Q966" s="257"/>
      <c r="R966" s="257"/>
      <c r="S966" s="257"/>
      <c r="T966" s="257"/>
      <c r="U966" s="257"/>
      <c r="V966" s="257"/>
      <c r="W966" s="257"/>
      <c r="X966" s="257"/>
      <c r="Y966" s="257"/>
      <c r="Z966" s="257"/>
    </row>
    <row r="967" ht="14.25" customHeight="1">
      <c r="A967" s="257"/>
      <c r="B967" s="257"/>
      <c r="C967" s="257"/>
      <c r="D967" s="257"/>
      <c r="E967" s="257"/>
      <c r="F967" s="257"/>
      <c r="G967" s="257"/>
      <c r="H967" s="257"/>
      <c r="I967" s="257"/>
      <c r="J967" s="257"/>
      <c r="K967" s="257"/>
      <c r="L967" s="257"/>
      <c r="M967" s="257"/>
      <c r="N967" s="257"/>
      <c r="O967" s="257"/>
      <c r="P967" s="257"/>
      <c r="Q967" s="257"/>
      <c r="R967" s="257"/>
      <c r="S967" s="257"/>
      <c r="T967" s="257"/>
      <c r="U967" s="257"/>
      <c r="V967" s="257"/>
      <c r="W967" s="257"/>
      <c r="X967" s="257"/>
      <c r="Y967" s="257"/>
      <c r="Z967" s="257"/>
    </row>
    <row r="968" ht="14.25" customHeight="1">
      <c r="A968" s="257"/>
      <c r="B968" s="257"/>
      <c r="C968" s="257"/>
      <c r="D968" s="257"/>
      <c r="E968" s="257"/>
      <c r="F968" s="257"/>
      <c r="G968" s="257"/>
      <c r="H968" s="257"/>
      <c r="I968" s="257"/>
      <c r="J968" s="257"/>
      <c r="K968" s="257"/>
      <c r="L968" s="257"/>
      <c r="M968" s="257"/>
      <c r="N968" s="257"/>
      <c r="O968" s="257"/>
      <c r="P968" s="257"/>
      <c r="Q968" s="257"/>
      <c r="R968" s="257"/>
      <c r="S968" s="257"/>
      <c r="T968" s="257"/>
      <c r="U968" s="257"/>
      <c r="V968" s="257"/>
      <c r="W968" s="257"/>
      <c r="X968" s="257"/>
      <c r="Y968" s="257"/>
      <c r="Z968" s="257"/>
    </row>
    <row r="969" ht="14.25" customHeight="1">
      <c r="A969" s="257"/>
      <c r="B969" s="257"/>
      <c r="C969" s="257"/>
      <c r="D969" s="257"/>
      <c r="E969" s="257"/>
      <c r="F969" s="257"/>
      <c r="G969" s="257"/>
      <c r="H969" s="257"/>
      <c r="I969" s="257"/>
      <c r="J969" s="257"/>
      <c r="K969" s="257"/>
      <c r="L969" s="257"/>
      <c r="M969" s="257"/>
      <c r="N969" s="257"/>
      <c r="O969" s="257"/>
      <c r="P969" s="257"/>
      <c r="Q969" s="257"/>
      <c r="R969" s="257"/>
      <c r="S969" s="257"/>
      <c r="T969" s="257"/>
      <c r="U969" s="257"/>
      <c r="V969" s="257"/>
      <c r="W969" s="257"/>
      <c r="X969" s="257"/>
      <c r="Y969" s="257"/>
      <c r="Z969" s="257"/>
    </row>
    <row r="970" ht="14.25" customHeight="1">
      <c r="A970" s="257"/>
      <c r="B970" s="257"/>
      <c r="C970" s="257"/>
      <c r="D970" s="257"/>
      <c r="E970" s="257"/>
      <c r="F970" s="257"/>
      <c r="G970" s="257"/>
      <c r="H970" s="257"/>
      <c r="I970" s="257"/>
      <c r="J970" s="257"/>
      <c r="K970" s="257"/>
      <c r="L970" s="257"/>
      <c r="M970" s="257"/>
      <c r="N970" s="257"/>
      <c r="O970" s="257"/>
      <c r="P970" s="257"/>
      <c r="Q970" s="257"/>
      <c r="R970" s="257"/>
      <c r="S970" s="257"/>
      <c r="T970" s="257"/>
      <c r="U970" s="257"/>
      <c r="V970" s="257"/>
      <c r="W970" s="257"/>
      <c r="X970" s="257"/>
      <c r="Y970" s="257"/>
      <c r="Z970" s="257"/>
    </row>
    <row r="971" ht="14.25" customHeight="1">
      <c r="A971" s="257"/>
      <c r="B971" s="257"/>
      <c r="C971" s="257"/>
      <c r="D971" s="257"/>
      <c r="E971" s="257"/>
      <c r="F971" s="257"/>
      <c r="G971" s="257"/>
      <c r="H971" s="257"/>
      <c r="I971" s="257"/>
      <c r="J971" s="257"/>
      <c r="K971" s="257"/>
      <c r="L971" s="257"/>
      <c r="M971" s="257"/>
      <c r="N971" s="257"/>
      <c r="O971" s="257"/>
      <c r="P971" s="257"/>
      <c r="Q971" s="257"/>
      <c r="R971" s="257"/>
      <c r="S971" s="257"/>
      <c r="T971" s="257"/>
      <c r="U971" s="257"/>
      <c r="V971" s="257"/>
      <c r="W971" s="257"/>
      <c r="X971" s="257"/>
      <c r="Y971" s="257"/>
      <c r="Z971" s="257"/>
    </row>
    <row r="972" ht="14.25" customHeight="1">
      <c r="A972" s="257"/>
      <c r="B972" s="257"/>
      <c r="C972" s="257"/>
      <c r="D972" s="257"/>
      <c r="E972" s="257"/>
      <c r="F972" s="257"/>
      <c r="G972" s="257"/>
      <c r="H972" s="257"/>
      <c r="I972" s="257"/>
      <c r="J972" s="257"/>
      <c r="K972" s="257"/>
      <c r="L972" s="257"/>
      <c r="M972" s="257"/>
      <c r="N972" s="257"/>
      <c r="O972" s="257"/>
      <c r="P972" s="257"/>
      <c r="Q972" s="257"/>
      <c r="R972" s="257"/>
      <c r="S972" s="257"/>
      <c r="T972" s="257"/>
      <c r="U972" s="257"/>
      <c r="V972" s="257"/>
      <c r="W972" s="257"/>
      <c r="X972" s="257"/>
      <c r="Y972" s="257"/>
      <c r="Z972" s="257"/>
    </row>
    <row r="973" ht="14.25" customHeight="1">
      <c r="A973" s="257"/>
      <c r="B973" s="257"/>
      <c r="C973" s="257"/>
      <c r="D973" s="257"/>
      <c r="E973" s="257"/>
      <c r="F973" s="257"/>
      <c r="G973" s="257"/>
      <c r="H973" s="257"/>
      <c r="I973" s="257"/>
      <c r="J973" s="257"/>
      <c r="K973" s="257"/>
      <c r="L973" s="257"/>
      <c r="M973" s="257"/>
      <c r="N973" s="257"/>
      <c r="O973" s="257"/>
      <c r="P973" s="257"/>
      <c r="Q973" s="257"/>
      <c r="R973" s="257"/>
      <c r="S973" s="257"/>
      <c r="T973" s="257"/>
      <c r="U973" s="257"/>
      <c r="V973" s="257"/>
      <c r="W973" s="257"/>
      <c r="X973" s="257"/>
      <c r="Y973" s="257"/>
      <c r="Z973" s="257"/>
    </row>
    <row r="974" ht="14.25" customHeight="1">
      <c r="A974" s="257"/>
      <c r="B974" s="257"/>
      <c r="C974" s="257"/>
      <c r="D974" s="257"/>
      <c r="E974" s="257"/>
      <c r="F974" s="257"/>
      <c r="G974" s="257"/>
      <c r="H974" s="257"/>
      <c r="I974" s="257"/>
      <c r="J974" s="257"/>
      <c r="K974" s="257"/>
      <c r="L974" s="257"/>
      <c r="M974" s="257"/>
      <c r="N974" s="257"/>
      <c r="O974" s="257"/>
      <c r="P974" s="257"/>
      <c r="Q974" s="257"/>
      <c r="R974" s="257"/>
      <c r="S974" s="257"/>
      <c r="T974" s="257"/>
      <c r="U974" s="257"/>
      <c r="V974" s="257"/>
      <c r="W974" s="257"/>
      <c r="X974" s="257"/>
      <c r="Y974" s="257"/>
      <c r="Z974" s="257"/>
    </row>
    <row r="975" ht="14.25" customHeight="1">
      <c r="A975" s="257"/>
      <c r="B975" s="257"/>
      <c r="C975" s="257"/>
      <c r="D975" s="257"/>
      <c r="E975" s="257"/>
      <c r="F975" s="257"/>
      <c r="G975" s="257"/>
      <c r="H975" s="257"/>
      <c r="I975" s="257"/>
      <c r="J975" s="257"/>
      <c r="K975" s="257"/>
      <c r="L975" s="257"/>
      <c r="M975" s="257"/>
      <c r="N975" s="257"/>
      <c r="O975" s="257"/>
      <c r="P975" s="257"/>
      <c r="Q975" s="257"/>
      <c r="R975" s="257"/>
      <c r="S975" s="257"/>
      <c r="T975" s="257"/>
      <c r="U975" s="257"/>
      <c r="V975" s="257"/>
      <c r="W975" s="257"/>
      <c r="X975" s="257"/>
      <c r="Y975" s="257"/>
      <c r="Z975" s="257"/>
    </row>
    <row r="976" ht="14.25" customHeight="1">
      <c r="A976" s="257"/>
      <c r="B976" s="257"/>
      <c r="C976" s="257"/>
      <c r="D976" s="257"/>
      <c r="E976" s="257"/>
      <c r="F976" s="257"/>
      <c r="G976" s="257"/>
      <c r="H976" s="257"/>
      <c r="I976" s="257"/>
      <c r="J976" s="257"/>
      <c r="K976" s="257"/>
      <c r="L976" s="257"/>
      <c r="M976" s="257"/>
      <c r="N976" s="257"/>
      <c r="O976" s="257"/>
      <c r="P976" s="257"/>
      <c r="Q976" s="257"/>
      <c r="R976" s="257"/>
      <c r="S976" s="257"/>
      <c r="T976" s="257"/>
      <c r="U976" s="257"/>
      <c r="V976" s="257"/>
      <c r="W976" s="257"/>
      <c r="X976" s="257"/>
      <c r="Y976" s="257"/>
      <c r="Z976" s="257"/>
    </row>
    <row r="977" ht="14.25" customHeight="1">
      <c r="A977" s="257"/>
      <c r="B977" s="257"/>
      <c r="C977" s="257"/>
      <c r="D977" s="257"/>
      <c r="E977" s="257"/>
      <c r="F977" s="257"/>
      <c r="G977" s="257"/>
      <c r="H977" s="257"/>
      <c r="I977" s="257"/>
      <c r="J977" s="257"/>
      <c r="K977" s="257"/>
      <c r="L977" s="257"/>
      <c r="M977" s="257"/>
      <c r="N977" s="257"/>
      <c r="O977" s="257"/>
      <c r="P977" s="257"/>
      <c r="Q977" s="257"/>
      <c r="R977" s="257"/>
      <c r="S977" s="257"/>
      <c r="T977" s="257"/>
      <c r="U977" s="257"/>
      <c r="V977" s="257"/>
      <c r="W977" s="257"/>
      <c r="X977" s="257"/>
      <c r="Y977" s="257"/>
      <c r="Z977" s="257"/>
    </row>
    <row r="978" ht="14.25" customHeight="1">
      <c r="A978" s="257"/>
      <c r="B978" s="257"/>
      <c r="C978" s="257"/>
      <c r="D978" s="257"/>
      <c r="E978" s="257"/>
      <c r="F978" s="257"/>
      <c r="G978" s="257"/>
      <c r="H978" s="257"/>
      <c r="I978" s="257"/>
      <c r="J978" s="257"/>
      <c r="K978" s="257"/>
      <c r="L978" s="257"/>
      <c r="M978" s="257"/>
      <c r="N978" s="257"/>
      <c r="O978" s="257"/>
      <c r="P978" s="257"/>
      <c r="Q978" s="257"/>
      <c r="R978" s="257"/>
      <c r="S978" s="257"/>
      <c r="T978" s="257"/>
      <c r="U978" s="257"/>
      <c r="V978" s="257"/>
      <c r="W978" s="257"/>
      <c r="X978" s="257"/>
      <c r="Y978" s="257"/>
      <c r="Z978" s="257"/>
    </row>
    <row r="979" ht="14.25" customHeight="1">
      <c r="A979" s="257"/>
      <c r="B979" s="257"/>
      <c r="C979" s="257"/>
      <c r="D979" s="257"/>
      <c r="E979" s="257"/>
      <c r="F979" s="257"/>
      <c r="G979" s="257"/>
      <c r="H979" s="257"/>
      <c r="I979" s="257"/>
      <c r="J979" s="257"/>
      <c r="K979" s="257"/>
      <c r="L979" s="257"/>
      <c r="M979" s="257"/>
      <c r="N979" s="257"/>
      <c r="O979" s="257"/>
      <c r="P979" s="257"/>
      <c r="Q979" s="257"/>
      <c r="R979" s="257"/>
      <c r="S979" s="257"/>
      <c r="T979" s="257"/>
      <c r="U979" s="257"/>
      <c r="V979" s="257"/>
      <c r="W979" s="257"/>
      <c r="X979" s="257"/>
      <c r="Y979" s="257"/>
      <c r="Z979" s="257"/>
    </row>
    <row r="980" ht="14.25" customHeight="1">
      <c r="A980" s="257"/>
      <c r="B980" s="257"/>
      <c r="C980" s="257"/>
      <c r="D980" s="257"/>
      <c r="E980" s="257"/>
      <c r="F980" s="257"/>
      <c r="G980" s="257"/>
      <c r="H980" s="257"/>
      <c r="I980" s="257"/>
      <c r="J980" s="257"/>
      <c r="K980" s="257"/>
      <c r="L980" s="257"/>
      <c r="M980" s="257"/>
      <c r="N980" s="257"/>
      <c r="O980" s="257"/>
      <c r="P980" s="257"/>
      <c r="Q980" s="257"/>
      <c r="R980" s="257"/>
      <c r="S980" s="257"/>
      <c r="T980" s="257"/>
      <c r="U980" s="257"/>
      <c r="V980" s="257"/>
      <c r="W980" s="257"/>
      <c r="X980" s="257"/>
      <c r="Y980" s="257"/>
      <c r="Z980" s="257"/>
    </row>
    <row r="981" ht="14.25" customHeight="1">
      <c r="A981" s="257"/>
      <c r="B981" s="257"/>
      <c r="C981" s="257"/>
      <c r="D981" s="257"/>
      <c r="E981" s="257"/>
      <c r="F981" s="257"/>
      <c r="G981" s="257"/>
      <c r="H981" s="257"/>
      <c r="I981" s="257"/>
      <c r="J981" s="257"/>
      <c r="K981" s="257"/>
      <c r="L981" s="257"/>
      <c r="M981" s="257"/>
      <c r="N981" s="257"/>
      <c r="O981" s="257"/>
      <c r="P981" s="257"/>
      <c r="Q981" s="257"/>
      <c r="R981" s="257"/>
      <c r="S981" s="257"/>
      <c r="T981" s="257"/>
      <c r="U981" s="257"/>
      <c r="V981" s="257"/>
      <c r="W981" s="257"/>
      <c r="X981" s="257"/>
      <c r="Y981" s="257"/>
      <c r="Z981" s="257"/>
    </row>
    <row r="982" ht="14.25" customHeight="1">
      <c r="A982" s="257"/>
      <c r="B982" s="257"/>
      <c r="C982" s="257"/>
      <c r="D982" s="257"/>
      <c r="E982" s="257"/>
      <c r="F982" s="257"/>
      <c r="G982" s="257"/>
      <c r="H982" s="257"/>
      <c r="I982" s="257"/>
      <c r="J982" s="257"/>
      <c r="K982" s="257"/>
      <c r="L982" s="257"/>
      <c r="M982" s="257"/>
      <c r="N982" s="257"/>
      <c r="O982" s="257"/>
      <c r="P982" s="257"/>
      <c r="Q982" s="257"/>
      <c r="R982" s="257"/>
      <c r="S982" s="257"/>
      <c r="T982" s="257"/>
      <c r="U982" s="257"/>
      <c r="V982" s="257"/>
      <c r="W982" s="257"/>
      <c r="X982" s="257"/>
      <c r="Y982" s="257"/>
      <c r="Z982" s="257"/>
    </row>
    <row r="983" ht="14.25" customHeight="1">
      <c r="A983" s="257"/>
      <c r="B983" s="257"/>
      <c r="C983" s="257"/>
      <c r="D983" s="257"/>
      <c r="E983" s="257"/>
      <c r="F983" s="257"/>
      <c r="G983" s="257"/>
      <c r="H983" s="257"/>
      <c r="I983" s="257"/>
      <c r="J983" s="257"/>
      <c r="K983" s="257"/>
      <c r="L983" s="257"/>
      <c r="M983" s="257"/>
      <c r="N983" s="257"/>
      <c r="O983" s="257"/>
      <c r="P983" s="257"/>
      <c r="Q983" s="257"/>
      <c r="R983" s="257"/>
      <c r="S983" s="257"/>
      <c r="T983" s="257"/>
      <c r="U983" s="257"/>
      <c r="V983" s="257"/>
      <c r="W983" s="257"/>
      <c r="X983" s="257"/>
      <c r="Y983" s="257"/>
      <c r="Z983" s="257"/>
    </row>
    <row r="984" ht="14.25" customHeight="1">
      <c r="A984" s="257"/>
      <c r="B984" s="257"/>
      <c r="C984" s="257"/>
      <c r="D984" s="257"/>
      <c r="E984" s="257"/>
      <c r="F984" s="257"/>
      <c r="G984" s="257"/>
      <c r="H984" s="257"/>
      <c r="I984" s="257"/>
      <c r="J984" s="257"/>
      <c r="K984" s="257"/>
      <c r="L984" s="257"/>
      <c r="M984" s="257"/>
      <c r="N984" s="257"/>
      <c r="O984" s="257"/>
      <c r="P984" s="257"/>
      <c r="Q984" s="257"/>
      <c r="R984" s="257"/>
      <c r="S984" s="257"/>
      <c r="T984" s="257"/>
      <c r="U984" s="257"/>
      <c r="V984" s="257"/>
      <c r="W984" s="257"/>
      <c r="X984" s="257"/>
      <c r="Y984" s="257"/>
      <c r="Z984" s="257"/>
    </row>
    <row r="985" ht="14.25" customHeight="1">
      <c r="A985" s="257"/>
      <c r="B985" s="257"/>
      <c r="C985" s="257"/>
      <c r="D985" s="257"/>
      <c r="E985" s="257"/>
      <c r="F985" s="257"/>
      <c r="G985" s="257"/>
      <c r="H985" s="257"/>
      <c r="I985" s="257"/>
      <c r="J985" s="257"/>
      <c r="K985" s="257"/>
      <c r="L985" s="257"/>
      <c r="M985" s="257"/>
      <c r="N985" s="257"/>
      <c r="O985" s="257"/>
      <c r="P985" s="257"/>
      <c r="Q985" s="257"/>
      <c r="R985" s="257"/>
      <c r="S985" s="257"/>
      <c r="T985" s="257"/>
      <c r="U985" s="257"/>
      <c r="V985" s="257"/>
      <c r="W985" s="257"/>
      <c r="X985" s="257"/>
      <c r="Y985" s="257"/>
      <c r="Z985" s="257"/>
    </row>
    <row r="986" ht="14.25" customHeight="1">
      <c r="A986" s="257"/>
      <c r="B986" s="257"/>
      <c r="C986" s="257"/>
      <c r="D986" s="257"/>
      <c r="E986" s="257"/>
      <c r="F986" s="257"/>
      <c r="G986" s="257"/>
      <c r="H986" s="257"/>
      <c r="I986" s="257"/>
      <c r="J986" s="257"/>
      <c r="K986" s="257"/>
      <c r="L986" s="257"/>
      <c r="M986" s="257"/>
      <c r="N986" s="257"/>
      <c r="O986" s="257"/>
      <c r="P986" s="257"/>
      <c r="Q986" s="257"/>
      <c r="R986" s="257"/>
      <c r="S986" s="257"/>
      <c r="T986" s="257"/>
      <c r="U986" s="257"/>
      <c r="V986" s="257"/>
      <c r="W986" s="257"/>
      <c r="X986" s="257"/>
      <c r="Y986" s="257"/>
      <c r="Z986" s="257"/>
    </row>
    <row r="987" ht="14.25" customHeight="1">
      <c r="A987" s="257"/>
      <c r="B987" s="257"/>
      <c r="C987" s="257"/>
      <c r="D987" s="257"/>
      <c r="E987" s="257"/>
      <c r="F987" s="257"/>
      <c r="G987" s="257"/>
      <c r="H987" s="257"/>
      <c r="I987" s="257"/>
      <c r="J987" s="257"/>
      <c r="K987" s="257"/>
      <c r="L987" s="257"/>
      <c r="M987" s="257"/>
      <c r="N987" s="257"/>
      <c r="O987" s="257"/>
      <c r="P987" s="257"/>
      <c r="Q987" s="257"/>
      <c r="R987" s="257"/>
      <c r="S987" s="257"/>
      <c r="T987" s="257"/>
      <c r="U987" s="257"/>
      <c r="V987" s="257"/>
      <c r="W987" s="257"/>
      <c r="X987" s="257"/>
      <c r="Y987" s="257"/>
      <c r="Z987" s="257"/>
    </row>
    <row r="988" ht="14.25" customHeight="1">
      <c r="A988" s="257"/>
      <c r="B988" s="257"/>
      <c r="C988" s="257"/>
      <c r="D988" s="257"/>
      <c r="E988" s="257"/>
      <c r="F988" s="257"/>
      <c r="G988" s="257"/>
      <c r="H988" s="257"/>
      <c r="I988" s="257"/>
      <c r="J988" s="257"/>
      <c r="K988" s="257"/>
      <c r="L988" s="257"/>
      <c r="M988" s="257"/>
      <c r="N988" s="257"/>
      <c r="O988" s="257"/>
      <c r="P988" s="257"/>
      <c r="Q988" s="257"/>
      <c r="R988" s="257"/>
      <c r="S988" s="257"/>
      <c r="T988" s="257"/>
      <c r="U988" s="257"/>
      <c r="V988" s="257"/>
      <c r="W988" s="257"/>
      <c r="X988" s="257"/>
      <c r="Y988" s="257"/>
      <c r="Z988" s="257"/>
    </row>
    <row r="989" ht="14.25" customHeight="1">
      <c r="A989" s="257"/>
      <c r="B989" s="257"/>
      <c r="C989" s="257"/>
      <c r="D989" s="257"/>
      <c r="E989" s="257"/>
      <c r="F989" s="257"/>
      <c r="G989" s="257"/>
      <c r="H989" s="257"/>
      <c r="I989" s="257"/>
      <c r="J989" s="257"/>
      <c r="K989" s="257"/>
      <c r="L989" s="257"/>
      <c r="M989" s="257"/>
      <c r="N989" s="257"/>
      <c r="O989" s="257"/>
      <c r="P989" s="257"/>
      <c r="Q989" s="257"/>
      <c r="R989" s="257"/>
      <c r="S989" s="257"/>
      <c r="T989" s="257"/>
      <c r="U989" s="257"/>
      <c r="V989" s="257"/>
      <c r="W989" s="257"/>
      <c r="X989" s="257"/>
      <c r="Y989" s="257"/>
      <c r="Z989" s="257"/>
    </row>
    <row r="990" ht="14.25" customHeight="1">
      <c r="A990" s="257"/>
      <c r="B990" s="257"/>
      <c r="C990" s="257"/>
      <c r="D990" s="257"/>
      <c r="E990" s="257"/>
      <c r="F990" s="257"/>
      <c r="G990" s="257"/>
      <c r="H990" s="257"/>
      <c r="I990" s="257"/>
      <c r="J990" s="257"/>
      <c r="K990" s="257"/>
      <c r="L990" s="257"/>
      <c r="M990" s="257"/>
      <c r="N990" s="257"/>
      <c r="O990" s="257"/>
      <c r="P990" s="257"/>
      <c r="Q990" s="257"/>
      <c r="R990" s="257"/>
      <c r="S990" s="257"/>
      <c r="T990" s="257"/>
      <c r="U990" s="257"/>
      <c r="V990" s="257"/>
      <c r="W990" s="257"/>
      <c r="X990" s="257"/>
      <c r="Y990" s="257"/>
      <c r="Z990" s="257"/>
    </row>
    <row r="991" ht="14.25" customHeight="1">
      <c r="A991" s="257"/>
      <c r="B991" s="257"/>
      <c r="C991" s="257"/>
      <c r="D991" s="257"/>
      <c r="E991" s="257"/>
      <c r="F991" s="257"/>
      <c r="G991" s="257"/>
      <c r="H991" s="257"/>
      <c r="I991" s="257"/>
      <c r="J991" s="257"/>
      <c r="K991" s="257"/>
      <c r="L991" s="257"/>
      <c r="M991" s="257"/>
      <c r="N991" s="257"/>
      <c r="O991" s="257"/>
      <c r="P991" s="257"/>
      <c r="Q991" s="257"/>
      <c r="R991" s="257"/>
      <c r="S991" s="257"/>
      <c r="T991" s="257"/>
      <c r="U991" s="257"/>
      <c r="V991" s="257"/>
      <c r="W991" s="257"/>
      <c r="X991" s="257"/>
      <c r="Y991" s="257"/>
      <c r="Z991" s="257"/>
    </row>
    <row r="992" ht="14.25" customHeight="1">
      <c r="A992" s="257"/>
      <c r="B992" s="257"/>
      <c r="C992" s="257"/>
      <c r="D992" s="257"/>
      <c r="E992" s="257"/>
      <c r="F992" s="257"/>
      <c r="G992" s="257"/>
      <c r="H992" s="257"/>
      <c r="I992" s="257"/>
      <c r="J992" s="257"/>
      <c r="K992" s="257"/>
      <c r="L992" s="257"/>
      <c r="M992" s="257"/>
      <c r="N992" s="257"/>
      <c r="O992" s="257"/>
      <c r="P992" s="257"/>
      <c r="Q992" s="257"/>
      <c r="R992" s="257"/>
      <c r="S992" s="257"/>
      <c r="T992" s="257"/>
      <c r="U992" s="257"/>
      <c r="V992" s="257"/>
      <c r="W992" s="257"/>
      <c r="X992" s="257"/>
      <c r="Y992" s="257"/>
      <c r="Z992" s="257"/>
    </row>
    <row r="993" ht="14.25" customHeight="1">
      <c r="A993" s="257"/>
      <c r="B993" s="257"/>
      <c r="C993" s="257"/>
      <c r="D993" s="257"/>
      <c r="E993" s="257"/>
      <c r="F993" s="257"/>
      <c r="G993" s="257"/>
      <c r="H993" s="257"/>
      <c r="I993" s="257"/>
      <c r="J993" s="257"/>
      <c r="K993" s="257"/>
      <c r="L993" s="257"/>
      <c r="M993" s="257"/>
      <c r="N993" s="257"/>
      <c r="O993" s="257"/>
      <c r="P993" s="257"/>
      <c r="Q993" s="257"/>
      <c r="R993" s="257"/>
      <c r="S993" s="257"/>
      <c r="T993" s="257"/>
      <c r="U993" s="257"/>
      <c r="V993" s="257"/>
      <c r="W993" s="257"/>
      <c r="X993" s="257"/>
      <c r="Y993" s="257"/>
      <c r="Z993" s="257"/>
    </row>
    <row r="994" ht="14.25" customHeight="1">
      <c r="A994" s="257"/>
      <c r="B994" s="257"/>
      <c r="C994" s="257"/>
      <c r="D994" s="257"/>
      <c r="E994" s="257"/>
      <c r="F994" s="257"/>
      <c r="G994" s="257"/>
      <c r="H994" s="257"/>
      <c r="I994" s="257"/>
      <c r="J994" s="257"/>
      <c r="K994" s="257"/>
      <c r="L994" s="257"/>
      <c r="M994" s="257"/>
      <c r="N994" s="257"/>
      <c r="O994" s="257"/>
      <c r="P994" s="257"/>
      <c r="Q994" s="257"/>
      <c r="R994" s="257"/>
      <c r="S994" s="257"/>
      <c r="T994" s="257"/>
      <c r="U994" s="257"/>
      <c r="V994" s="257"/>
      <c r="W994" s="257"/>
      <c r="X994" s="257"/>
      <c r="Y994" s="257"/>
      <c r="Z994" s="257"/>
    </row>
    <row r="995" ht="14.25" customHeight="1">
      <c r="A995" s="257"/>
      <c r="B995" s="257"/>
      <c r="C995" s="257"/>
      <c r="D995" s="257"/>
      <c r="E995" s="257"/>
      <c r="F995" s="257"/>
      <c r="G995" s="257"/>
      <c r="H995" s="257"/>
      <c r="I995" s="257"/>
      <c r="J995" s="257"/>
      <c r="K995" s="257"/>
      <c r="L995" s="257"/>
      <c r="M995" s="257"/>
      <c r="N995" s="257"/>
      <c r="O995" s="257"/>
      <c r="P995" s="257"/>
      <c r="Q995" s="257"/>
      <c r="R995" s="257"/>
      <c r="S995" s="257"/>
      <c r="T995" s="257"/>
      <c r="U995" s="257"/>
      <c r="V995" s="257"/>
      <c r="W995" s="257"/>
      <c r="X995" s="257"/>
      <c r="Y995" s="257"/>
      <c r="Z995" s="257"/>
    </row>
  </sheetData>
  <mergeCells count="3">
    <mergeCell ref="B2:C2"/>
    <mergeCell ref="B4:H4"/>
    <mergeCell ref="B13:G1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77.0"/>
    <col customWidth="1" min="3" max="3" width="23.88"/>
    <col customWidth="1" min="4" max="4" width="20.13"/>
    <col customWidth="1" min="5" max="6" width="16.13"/>
    <col customWidth="1" min="7" max="7" width="17.88"/>
    <col customWidth="1" min="8" max="8" width="12.63"/>
    <col customWidth="1" min="9" max="9" width="25.13"/>
  </cols>
  <sheetData>
    <row r="1" ht="15.75" customHeight="1">
      <c r="A1" s="292"/>
      <c r="B1" s="292"/>
      <c r="C1" s="293"/>
      <c r="D1" s="293"/>
      <c r="E1" s="293"/>
      <c r="F1" s="293"/>
      <c r="G1" s="293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ht="15.0" customHeight="1">
      <c r="A2" s="292"/>
      <c r="B2" s="1" t="s">
        <v>340</v>
      </c>
      <c r="C2" s="3"/>
      <c r="D2" s="293"/>
      <c r="E2" s="293"/>
      <c r="F2" s="293"/>
      <c r="G2" s="293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</row>
    <row r="3" ht="15.0" customHeight="1">
      <c r="A3" s="292"/>
      <c r="B3" s="293"/>
      <c r="C3" s="293"/>
      <c r="D3" s="293"/>
      <c r="E3" s="293"/>
      <c r="F3" s="293"/>
      <c r="G3" s="293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 ht="15.75" customHeight="1">
      <c r="A4" s="292"/>
      <c r="B4" s="53" t="s">
        <v>341</v>
      </c>
      <c r="C4" s="174" t="s">
        <v>32</v>
      </c>
      <c r="D4" s="201" t="s">
        <v>33</v>
      </c>
      <c r="E4" s="201" t="s">
        <v>34</v>
      </c>
      <c r="F4" s="201" t="s">
        <v>35</v>
      </c>
      <c r="G4" s="202" t="s">
        <v>36</v>
      </c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</row>
    <row r="5" ht="15.75" customHeight="1">
      <c r="A5" s="293"/>
      <c r="B5" s="294" t="s">
        <v>342</v>
      </c>
      <c r="C5" s="295">
        <f>'MK Assumptions'!C5*I6</f>
        <v>13412762.16</v>
      </c>
      <c r="D5" s="296">
        <f>(C5*(1+'MK Assumptions'!$C$6)-'MK Sales Projections'!C14)*$I$6</f>
        <v>13533202.35</v>
      </c>
      <c r="E5" s="296">
        <f>(D5*(1+'MK Assumptions'!$C$6)-'MK Sales Projections'!D14)*$I$6</f>
        <v>13621162.95</v>
      </c>
      <c r="F5" s="296">
        <f>(E5*(1+'MK Assumptions'!$C$6)-'MK Sales Projections'!E14)*$I$6</f>
        <v>13685663.95</v>
      </c>
      <c r="G5" s="297">
        <f>(F5*(1+'MK Assumptions'!$C$6)-'MK Sales Projections'!F14)*$I$6</f>
        <v>13697262.31</v>
      </c>
      <c r="H5" s="292"/>
      <c r="I5" s="298" t="s">
        <v>343</v>
      </c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</row>
    <row r="6" ht="15.75" customHeight="1">
      <c r="A6" s="299"/>
      <c r="B6" s="45" t="s">
        <v>344</v>
      </c>
      <c r="C6" s="300">
        <f>('MK Weighted Price Calculations'!C11*'MK Demand Curve &amp; Purchase Inte'!B31)+'MK Demand Curve &amp; Purchase Inte'!C31</f>
        <v>0.222184874</v>
      </c>
      <c r="D6" s="79">
        <f>('MK Weighted Price Calculations'!C20*'MK Demand Curve &amp; Purchase Inte'!B31)+'MK Demand Curve &amp; Purchase Inte'!C31</f>
        <v>0.222184874</v>
      </c>
      <c r="E6" s="79">
        <f>('MK Weighted Price Calculations'!C29*'MK Demand Curve &amp; Purchase Inte'!B31)+'MK Demand Curve &amp; Purchase Inte'!C31</f>
        <v>0.2279849563</v>
      </c>
      <c r="F6" s="79">
        <f>('MK Weighted Price Calculations'!C38*'MK Demand Curve &amp; Purchase Inte'!B31)+'MK Demand Curve &amp; Purchase Inte'!C31</f>
        <v>0.2451059399</v>
      </c>
      <c r="G6" s="228">
        <f>('MK Weighted Price Calculations'!C47*'MK Demand Curve &amp; Purchase Inte'!B31)+'MK Demand Curve &amp; Purchase Inte'!C31</f>
        <v>0.2523453018</v>
      </c>
      <c r="H6" s="292"/>
      <c r="I6" s="301">
        <v>1.0</v>
      </c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</row>
    <row r="7" ht="15.75" customHeight="1">
      <c r="A7" s="299"/>
      <c r="B7" s="45" t="s">
        <v>345</v>
      </c>
      <c r="C7" s="300">
        <f>'MK IMC Schedule'!P24*I9</f>
        <v>0.1131772503</v>
      </c>
      <c r="D7" s="79">
        <f>'MK IMC Schedule'!P48*I9</f>
        <v>0.1588604303</v>
      </c>
      <c r="E7" s="79">
        <f>'MK IMC Schedule'!P72*I9</f>
        <v>0.1935097738</v>
      </c>
      <c r="F7" s="79">
        <f>'MK IMC Schedule'!P96*I9</f>
        <v>0.2515383002</v>
      </c>
      <c r="G7" s="228">
        <f>'MK IMC Schedule'!P120*I9</f>
        <v>0.3219917171</v>
      </c>
      <c r="H7" s="292"/>
      <c r="I7" s="30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</row>
    <row r="8" ht="15.75" customHeight="1">
      <c r="A8" s="299"/>
      <c r="B8" s="45" t="s">
        <v>346</v>
      </c>
      <c r="C8" s="300">
        <f>'MK Assumptions'!C9</f>
        <v>0.14</v>
      </c>
      <c r="D8" s="79">
        <f>'MK Assumptions'!C10</f>
        <v>0.17</v>
      </c>
      <c r="E8" s="79">
        <f>'MK Assumptions'!C11</f>
        <v>0.22</v>
      </c>
      <c r="F8" s="79">
        <f>'MK Assumptions'!C12</f>
        <v>0.27</v>
      </c>
      <c r="G8" s="228">
        <f>'MK Assumptions'!C13</f>
        <v>0.33</v>
      </c>
      <c r="H8" s="292"/>
      <c r="I8" s="303" t="s">
        <v>347</v>
      </c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</row>
    <row r="9" ht="15.75" customHeight="1">
      <c r="A9" s="299"/>
      <c r="B9" s="45" t="s">
        <v>348</v>
      </c>
      <c r="C9" s="304">
        <v>1.0</v>
      </c>
      <c r="D9" s="305">
        <v>1.0</v>
      </c>
      <c r="E9" s="305">
        <v>1.0</v>
      </c>
      <c r="F9" s="305">
        <v>1.0</v>
      </c>
      <c r="G9" s="217">
        <v>1.0</v>
      </c>
      <c r="H9" s="292"/>
      <c r="I9" s="306">
        <v>1.0</v>
      </c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</row>
    <row r="10" ht="15.75" customHeight="1">
      <c r="A10" s="293"/>
      <c r="B10" s="101" t="s">
        <v>349</v>
      </c>
      <c r="C10" s="307">
        <f t="shared" ref="C10:G10" si="1">C5*C6*C7*C8*C9</f>
        <v>47219.33725</v>
      </c>
      <c r="D10" s="308">
        <f t="shared" si="1"/>
        <v>81204.42975</v>
      </c>
      <c r="E10" s="308">
        <f t="shared" si="1"/>
        <v>132204.417</v>
      </c>
      <c r="F10" s="308">
        <f t="shared" si="1"/>
        <v>227817.7686</v>
      </c>
      <c r="G10" s="309">
        <f t="shared" si="1"/>
        <v>367271.8447</v>
      </c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</row>
    <row r="11" ht="15.75" customHeight="1">
      <c r="A11" s="299"/>
      <c r="B11" s="45" t="s">
        <v>350</v>
      </c>
      <c r="C11" s="304">
        <v>0.0</v>
      </c>
      <c r="D11" s="305">
        <v>0.0</v>
      </c>
      <c r="E11" s="305">
        <v>0.0</v>
      </c>
      <c r="F11" s="305">
        <v>0.0</v>
      </c>
      <c r="G11" s="217">
        <v>0.0</v>
      </c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</row>
    <row r="12" ht="15.75" customHeight="1">
      <c r="A12" s="299"/>
      <c r="B12" s="45" t="s">
        <v>351</v>
      </c>
      <c r="C12" s="307">
        <f t="shared" ref="C12:G12" si="2">C10*$I$13</f>
        <v>47219.33725</v>
      </c>
      <c r="D12" s="308">
        <f t="shared" si="2"/>
        <v>81204.42975</v>
      </c>
      <c r="E12" s="308">
        <f t="shared" si="2"/>
        <v>132204.417</v>
      </c>
      <c r="F12" s="308">
        <f t="shared" si="2"/>
        <v>227817.7686</v>
      </c>
      <c r="G12" s="309">
        <f t="shared" si="2"/>
        <v>367271.8447</v>
      </c>
      <c r="H12" s="292"/>
      <c r="I12" s="298" t="s">
        <v>352</v>
      </c>
      <c r="J12" s="292"/>
      <c r="K12" s="292"/>
      <c r="L12" s="292"/>
      <c r="M12" s="292"/>
      <c r="N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 ht="15.75" customHeight="1">
      <c r="A13" s="299"/>
      <c r="B13" s="45" t="s">
        <v>353</v>
      </c>
      <c r="C13" s="300">
        <v>0.0</v>
      </c>
      <c r="D13" s="79">
        <v>0.0</v>
      </c>
      <c r="E13" s="79">
        <v>0.2</v>
      </c>
      <c r="F13" s="79">
        <v>0.3</v>
      </c>
      <c r="G13" s="228">
        <v>0.35</v>
      </c>
      <c r="H13" s="292"/>
      <c r="I13" s="301">
        <v>1.0</v>
      </c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</row>
    <row r="14" ht="15.75" customHeight="1">
      <c r="A14" s="293"/>
      <c r="B14" s="101" t="s">
        <v>314</v>
      </c>
      <c r="C14" s="307">
        <f t="shared" ref="C14:G14" si="3">C12*(1-C13)</f>
        <v>47219.33725</v>
      </c>
      <c r="D14" s="308">
        <f t="shared" si="3"/>
        <v>81204.42975</v>
      </c>
      <c r="E14" s="308">
        <f t="shared" si="3"/>
        <v>105763.5336</v>
      </c>
      <c r="F14" s="308">
        <f t="shared" si="3"/>
        <v>159472.438</v>
      </c>
      <c r="G14" s="309">
        <f t="shared" si="3"/>
        <v>238726.699</v>
      </c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</row>
    <row r="15" ht="15.75" customHeight="1">
      <c r="A15" s="299"/>
      <c r="B15" s="45" t="s">
        <v>354</v>
      </c>
      <c r="C15" s="310">
        <f>'MK Weighted Price Calculations'!C10</f>
        <v>34.5</v>
      </c>
      <c r="D15" s="311">
        <f>'MK Weighted Price Calculations'!C19</f>
        <v>33.97058824</v>
      </c>
      <c r="E15" s="311">
        <f>'MK Weighted Price Calculations'!C28</f>
        <v>33.12272727</v>
      </c>
      <c r="F15" s="311">
        <f>'MK Weighted Price Calculations'!C37</f>
        <v>31.60888889</v>
      </c>
      <c r="G15" s="232">
        <f>'MK Weighted Price Calculations'!C46</f>
        <v>30.94</v>
      </c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</row>
    <row r="16" ht="15.75" customHeight="1">
      <c r="A16" s="293"/>
      <c r="B16" s="101" t="s">
        <v>355</v>
      </c>
      <c r="C16" s="312">
        <f t="shared" ref="C16:G16" si="4">C15*C14</f>
        <v>1629067.135</v>
      </c>
      <c r="D16" s="313">
        <f t="shared" si="4"/>
        <v>2758562.246</v>
      </c>
      <c r="E16" s="313">
        <f t="shared" si="4"/>
        <v>3503176.678</v>
      </c>
      <c r="F16" s="313">
        <f t="shared" si="4"/>
        <v>5040746.574</v>
      </c>
      <c r="G16" s="314">
        <f t="shared" si="4"/>
        <v>7386204.068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 ht="15.75" customHeight="1">
      <c r="A17" s="293"/>
      <c r="B17" s="315" t="s">
        <v>356</v>
      </c>
      <c r="C17" s="292"/>
      <c r="D17" s="292"/>
      <c r="E17" s="292"/>
      <c r="F17" s="292"/>
      <c r="G17" s="316">
        <f>'FE Assumptions'!G38</f>
        <v>10.03557614</v>
      </c>
      <c r="H17" s="292"/>
      <c r="I17" s="30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 ht="15.75" customHeight="1">
      <c r="A18" s="292"/>
      <c r="B18" s="317" t="s">
        <v>357</v>
      </c>
      <c r="C18" s="292"/>
      <c r="D18" s="292"/>
      <c r="E18" s="292"/>
      <c r="F18" s="292"/>
      <c r="G18" s="318">
        <f>'MK IMC Schedule'!O127</f>
        <v>631633</v>
      </c>
      <c r="H18" s="292"/>
      <c r="I18" s="30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</row>
    <row r="19" ht="15.75" customHeight="1">
      <c r="A19" s="292"/>
      <c r="B19" s="319" t="s">
        <v>358</v>
      </c>
      <c r="C19" s="292"/>
      <c r="D19" s="292"/>
      <c r="E19" s="292"/>
      <c r="F19" s="292"/>
      <c r="G19" s="319">
        <v>7.0</v>
      </c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</row>
    <row r="20" ht="15.75" customHeight="1">
      <c r="A20" s="292"/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</row>
    <row r="21" ht="15.75" customHeight="1">
      <c r="A21" s="292"/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</row>
    <row r="22" ht="15.75" customHeight="1">
      <c r="A22" s="292"/>
      <c r="B22" s="320"/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</row>
    <row r="23" ht="15.75" customHeight="1">
      <c r="A23" s="292"/>
      <c r="B23" s="292"/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</row>
    <row r="24" ht="15.75" customHeight="1">
      <c r="A24" s="292"/>
      <c r="B24" s="292"/>
      <c r="C24" s="292"/>
      <c r="D24" s="321" t="s">
        <v>261</v>
      </c>
      <c r="E24" s="321" t="s">
        <v>359</v>
      </c>
      <c r="F24" s="321" t="s">
        <v>345</v>
      </c>
      <c r="G24" s="321" t="s">
        <v>360</v>
      </c>
      <c r="H24" s="321" t="s">
        <v>361</v>
      </c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</row>
    <row r="25" ht="15.75" customHeight="1">
      <c r="A25" s="292"/>
      <c r="B25" s="292"/>
      <c r="C25" s="292"/>
      <c r="D25" s="321">
        <v>1.0</v>
      </c>
      <c r="E25" s="322">
        <f>C16</f>
        <v>1629067.135</v>
      </c>
      <c r="F25" s="323">
        <f>C8</f>
        <v>0.14</v>
      </c>
      <c r="G25" s="323">
        <f>C8</f>
        <v>0.14</v>
      </c>
      <c r="H25" s="323">
        <f>C6</f>
        <v>0.222184874</v>
      </c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26" ht="15.75" customHeight="1">
      <c r="A26" s="292"/>
      <c r="B26" s="292"/>
      <c r="C26" s="292"/>
      <c r="D26" s="321">
        <v>2.0</v>
      </c>
      <c r="E26" s="322">
        <f>D16</f>
        <v>2758562.246</v>
      </c>
      <c r="F26" s="323">
        <f>D8</f>
        <v>0.17</v>
      </c>
      <c r="G26" s="323">
        <f>D8</f>
        <v>0.17</v>
      </c>
      <c r="H26" s="323">
        <f>D6</f>
        <v>0.222184874</v>
      </c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 ht="15.75" customHeight="1">
      <c r="A27" s="292"/>
      <c r="B27" s="292"/>
      <c r="C27" s="292"/>
      <c r="D27" s="321">
        <v>3.0</v>
      </c>
      <c r="E27" s="322">
        <f>E16</f>
        <v>3503176.678</v>
      </c>
      <c r="F27" s="323">
        <f>E8</f>
        <v>0.22</v>
      </c>
      <c r="G27" s="323">
        <f>E8</f>
        <v>0.22</v>
      </c>
      <c r="H27" s="323">
        <f>E6</f>
        <v>0.2279849563</v>
      </c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</row>
    <row r="28" ht="15.75" customHeight="1">
      <c r="A28" s="292"/>
      <c r="B28" s="292"/>
      <c r="C28" s="292"/>
      <c r="D28" s="321">
        <v>4.0</v>
      </c>
      <c r="E28" s="322">
        <f>F16</f>
        <v>5040746.574</v>
      </c>
      <c r="F28" s="323">
        <f>F8</f>
        <v>0.27</v>
      </c>
      <c r="G28" s="323">
        <f>F8</f>
        <v>0.27</v>
      </c>
      <c r="H28" s="323">
        <f>F6</f>
        <v>0.2451059399</v>
      </c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</row>
    <row r="29" ht="15.75" customHeight="1">
      <c r="A29" s="292"/>
      <c r="B29" s="292"/>
      <c r="C29" s="292"/>
      <c r="D29" s="321">
        <v>5.0</v>
      </c>
      <c r="E29" s="322">
        <f>G16</f>
        <v>7386204.068</v>
      </c>
      <c r="F29" s="323">
        <f>G8</f>
        <v>0.33</v>
      </c>
      <c r="G29" s="323">
        <f>G8</f>
        <v>0.33</v>
      </c>
      <c r="H29" s="323">
        <f>G6</f>
        <v>0.2523453018</v>
      </c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</row>
    <row r="30" ht="15.75" customHeight="1">
      <c r="A30" s="292"/>
      <c r="B30" s="292"/>
      <c r="C30" s="292"/>
      <c r="D30" s="321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</row>
    <row r="31" ht="15.75" customHeight="1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</row>
    <row r="32" ht="15.75" customHeight="1">
      <c r="A32" s="292"/>
      <c r="B32" s="292"/>
      <c r="C32" s="292"/>
      <c r="D32" s="321" t="s">
        <v>362</v>
      </c>
      <c r="E32" s="321">
        <v>1.0</v>
      </c>
      <c r="F32" s="321">
        <v>2.0</v>
      </c>
      <c r="G32" s="321">
        <v>3.0</v>
      </c>
      <c r="H32" s="321">
        <v>4.0</v>
      </c>
      <c r="I32" s="321">
        <v>5.0</v>
      </c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</row>
    <row r="33" ht="15.75" customHeight="1">
      <c r="A33" s="292"/>
      <c r="B33" s="292"/>
      <c r="C33" s="292"/>
      <c r="D33" s="321" t="s">
        <v>359</v>
      </c>
      <c r="E33" s="324">
        <f>E25</f>
        <v>1629067.135</v>
      </c>
      <c r="F33" s="324">
        <f>E26</f>
        <v>2758562.246</v>
      </c>
      <c r="G33" s="324">
        <f>E27</f>
        <v>3503176.678</v>
      </c>
      <c r="H33" s="324">
        <f>E28</f>
        <v>5040746.574</v>
      </c>
      <c r="I33" s="324">
        <f>E29</f>
        <v>7386204.068</v>
      </c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</row>
    <row r="34" ht="15.75" customHeight="1">
      <c r="A34" s="292"/>
      <c r="B34" s="292"/>
      <c r="C34" s="292"/>
      <c r="D34" s="321" t="s">
        <v>361</v>
      </c>
      <c r="E34" s="323">
        <f>H25</f>
        <v>0.222184874</v>
      </c>
      <c r="F34" s="323">
        <f>H26</f>
        <v>0.222184874</v>
      </c>
      <c r="G34" s="323">
        <f>H27</f>
        <v>0.2279849563</v>
      </c>
      <c r="H34" s="323">
        <f>H28</f>
        <v>0.2451059399</v>
      </c>
      <c r="I34" s="323">
        <f>H29</f>
        <v>0.2523453018</v>
      </c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</row>
    <row r="35" ht="15.75" customHeight="1">
      <c r="A35" s="292"/>
      <c r="B35" s="292"/>
      <c r="C35" s="292"/>
      <c r="D35" s="321" t="s">
        <v>345</v>
      </c>
      <c r="E35" s="323">
        <f t="shared" ref="E35:I35" si="5">C7</f>
        <v>0.1131772503</v>
      </c>
      <c r="F35" s="323">
        <f t="shared" si="5"/>
        <v>0.1588604303</v>
      </c>
      <c r="G35" s="323">
        <f t="shared" si="5"/>
        <v>0.1935097738</v>
      </c>
      <c r="H35" s="323">
        <f t="shared" si="5"/>
        <v>0.2515383002</v>
      </c>
      <c r="I35" s="323">
        <f t="shared" si="5"/>
        <v>0.3219917171</v>
      </c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</row>
    <row r="36" ht="15.75" customHeight="1">
      <c r="A36" s="292"/>
      <c r="B36" s="292"/>
      <c r="C36" s="292"/>
      <c r="D36" s="321" t="s">
        <v>360</v>
      </c>
      <c r="E36" s="323">
        <f t="shared" ref="E36:I36" si="6">C8</f>
        <v>0.14</v>
      </c>
      <c r="F36" s="323">
        <f t="shared" si="6"/>
        <v>0.17</v>
      </c>
      <c r="G36" s="323">
        <f t="shared" si="6"/>
        <v>0.22</v>
      </c>
      <c r="H36" s="323">
        <f t="shared" si="6"/>
        <v>0.27</v>
      </c>
      <c r="I36" s="323">
        <f t="shared" si="6"/>
        <v>0.33</v>
      </c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</row>
    <row r="37" ht="15.75" customHeight="1">
      <c r="A37" s="292"/>
      <c r="B37" s="292"/>
      <c r="C37" s="292"/>
      <c r="D37" s="321" t="s">
        <v>363</v>
      </c>
      <c r="E37" s="323">
        <f t="shared" ref="E37:I37" si="7">C13</f>
        <v>0</v>
      </c>
      <c r="F37" s="323">
        <f t="shared" si="7"/>
        <v>0</v>
      </c>
      <c r="G37" s="323">
        <f t="shared" si="7"/>
        <v>0.2</v>
      </c>
      <c r="H37" s="323">
        <f t="shared" si="7"/>
        <v>0.3</v>
      </c>
      <c r="I37" s="323">
        <f t="shared" si="7"/>
        <v>0.35</v>
      </c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</row>
    <row r="38" ht="15.75" customHeight="1">
      <c r="A38" s="292"/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</row>
    <row r="39" ht="15.75" customHeight="1">
      <c r="A39" s="292"/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</row>
    <row r="40" ht="15.75" customHeight="1">
      <c r="A40" s="292"/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</row>
    <row r="41" ht="15.75" customHeight="1">
      <c r="A41" s="292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</row>
    <row r="42" ht="15.75" customHeight="1">
      <c r="A42" s="292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</row>
    <row r="43" ht="15.75" customHeight="1">
      <c r="A43" s="292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</row>
    <row r="44" ht="15.75" customHeight="1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</row>
    <row r="45" ht="15.75" customHeight="1">
      <c r="A45" s="292"/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</row>
    <row r="46" ht="15.75" customHeight="1">
      <c r="A46" s="292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</row>
    <row r="47" ht="15.75" customHeight="1">
      <c r="A47" s="292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</row>
    <row r="48" ht="15.75" customHeight="1">
      <c r="A48" s="292"/>
      <c r="B48" s="29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</row>
    <row r="49" ht="15.75" customHeight="1">
      <c r="A49" s="292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</row>
    <row r="50" ht="15.75" customHeight="1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</row>
    <row r="51" ht="15.75" customHeight="1">
      <c r="A51" s="292"/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</row>
    <row r="52" ht="15.75" customHeight="1">
      <c r="A52" s="292"/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</row>
    <row r="53" ht="15.75" customHeight="1">
      <c r="A53" s="292"/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</row>
    <row r="54" ht="15.75" customHeight="1">
      <c r="A54" s="292"/>
      <c r="B54" s="29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</row>
    <row r="55" ht="15.75" customHeight="1">
      <c r="A55" s="292"/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</row>
    <row r="56" ht="15.75" customHeight="1">
      <c r="A56" s="292"/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</row>
    <row r="57" ht="15.75" customHeight="1">
      <c r="A57" s="292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</row>
    <row r="58" ht="15.75" customHeight="1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</row>
    <row r="59" ht="15.75" customHeight="1">
      <c r="A59" s="292"/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</row>
    <row r="60" ht="15.75" customHeight="1">
      <c r="A60" s="292"/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</row>
    <row r="61" ht="15.75" customHeight="1">
      <c r="A61" s="292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</row>
    <row r="62" ht="15.75" customHeight="1">
      <c r="A62" s="292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</row>
    <row r="63" ht="15.75" customHeight="1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</row>
    <row r="64" ht="15.75" customHeight="1">
      <c r="A64" s="292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</row>
    <row r="65" ht="15.75" customHeight="1">
      <c r="A65" s="292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</row>
    <row r="66" ht="15.75" customHeight="1">
      <c r="A66" s="292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</row>
    <row r="67" ht="15.75" customHeight="1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</row>
    <row r="68" ht="15.75" customHeight="1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</row>
    <row r="69" ht="15.75" customHeight="1">
      <c r="A69" s="292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</row>
    <row r="70" ht="15.75" customHeight="1">
      <c r="A70" s="292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</row>
    <row r="71" ht="15.75" customHeight="1">
      <c r="A71" s="292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</row>
    <row r="72" ht="15.75" customHeight="1">
      <c r="A72" s="292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</row>
    <row r="73" ht="15.75" customHeight="1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</row>
    <row r="74" ht="15.75" customHeight="1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</row>
    <row r="75" ht="15.75" customHeight="1">
      <c r="A75" s="292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</row>
    <row r="76" ht="15.75" customHeight="1">
      <c r="A76" s="292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</row>
    <row r="77" ht="15.75" customHeight="1">
      <c r="A77" s="292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</row>
    <row r="78" ht="15.75" customHeight="1">
      <c r="A78" s="292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</row>
    <row r="79" ht="15.75" customHeight="1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</row>
    <row r="80" ht="15.75" customHeight="1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</row>
    <row r="81" ht="15.75" customHeight="1">
      <c r="A81" s="292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</row>
    <row r="82" ht="15.75" customHeight="1">
      <c r="A82" s="292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</row>
    <row r="83" ht="15.75" customHeight="1">
      <c r="A83" s="292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</row>
    <row r="84" ht="15.75" customHeight="1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</row>
    <row r="85" ht="15.75" customHeight="1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</row>
    <row r="86" ht="15.75" customHeight="1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</row>
    <row r="87" ht="15.75" customHeight="1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</row>
    <row r="88" ht="15.75" customHeight="1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</row>
    <row r="89" ht="15.75" customHeight="1">
      <c r="A89" s="292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</row>
    <row r="90" ht="15.75" customHeight="1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</row>
    <row r="91" ht="15.75" customHeight="1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</row>
    <row r="92" ht="15.75" customHeight="1">
      <c r="A92" s="292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</row>
    <row r="93" ht="15.75" customHeight="1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</row>
    <row r="94" ht="15.75" customHeight="1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  <c r="Z94" s="292"/>
    </row>
    <row r="95" ht="15.75" customHeight="1">
      <c r="A95" s="292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</row>
    <row r="96" ht="15.75" customHeight="1">
      <c r="A96" s="292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</row>
    <row r="97" ht="15.75" customHeight="1">
      <c r="A97" s="292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</row>
    <row r="98" ht="15.75" customHeight="1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</row>
    <row r="99" ht="15.75" customHeight="1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</row>
    <row r="100" ht="15.75" customHeight="1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</row>
    <row r="101" ht="15.75" customHeight="1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</row>
    <row r="102" ht="15.75" customHeight="1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</row>
    <row r="103" ht="15.75" customHeight="1">
      <c r="A103" s="292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</row>
    <row r="104" ht="15.75" customHeight="1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</row>
    <row r="105" ht="15.75" customHeight="1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  <c r="Z105" s="292"/>
    </row>
    <row r="106" ht="15.75" customHeight="1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</row>
    <row r="107" ht="15.75" customHeight="1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</row>
    <row r="108" ht="15.75" customHeight="1">
      <c r="A108" s="292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</row>
    <row r="109" ht="15.75" customHeight="1">
      <c r="A109" s="292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</row>
    <row r="110" ht="15.75" customHeight="1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</row>
    <row r="111" ht="15.75" customHeight="1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</row>
    <row r="112" ht="15.75" customHeight="1">
      <c r="A112" s="292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  <c r="X112" s="292"/>
      <c r="Y112" s="292"/>
      <c r="Z112" s="292"/>
    </row>
    <row r="113" ht="15.75" customHeight="1">
      <c r="A113" s="292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  <c r="X113" s="292"/>
      <c r="Y113" s="292"/>
      <c r="Z113" s="292"/>
    </row>
    <row r="114" ht="15.75" customHeight="1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</row>
    <row r="115" ht="15.75" customHeight="1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</row>
    <row r="116" ht="15.75" customHeight="1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</row>
    <row r="117" ht="15.75" customHeight="1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</row>
    <row r="118" ht="15.75" customHeight="1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</row>
    <row r="119" ht="15.75" customHeight="1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</row>
    <row r="120" ht="15.75" customHeight="1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</row>
    <row r="121" ht="15.75" customHeight="1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  <c r="X121" s="292"/>
      <c r="Y121" s="292"/>
      <c r="Z121" s="292"/>
    </row>
    <row r="122" ht="15.75" customHeight="1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</row>
    <row r="123" ht="15.75" customHeight="1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</row>
    <row r="124" ht="15.75" customHeight="1">
      <c r="A124" s="292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</row>
    <row r="125" ht="15.75" customHeight="1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</row>
    <row r="126" ht="15.75" customHeight="1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</row>
    <row r="127" ht="15.75" customHeight="1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</row>
    <row r="128" ht="15.75" customHeight="1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</row>
    <row r="129" ht="15.75" customHeight="1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</row>
    <row r="130" ht="15.75" customHeight="1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</row>
    <row r="131" ht="15.75" customHeight="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</row>
    <row r="132" ht="15.75" customHeight="1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</row>
    <row r="133" ht="15.75" customHeight="1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  <c r="X133" s="292"/>
      <c r="Y133" s="292"/>
      <c r="Z133" s="292"/>
    </row>
    <row r="134" ht="15.75" customHeight="1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</row>
    <row r="135" ht="15.75" customHeight="1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</row>
    <row r="136" ht="15.75" customHeight="1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</row>
    <row r="137" ht="15.75" customHeight="1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  <c r="X137" s="292"/>
      <c r="Y137" s="292"/>
      <c r="Z137" s="292"/>
    </row>
    <row r="138" ht="15.75" customHeight="1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  <c r="X138" s="292"/>
      <c r="Y138" s="292"/>
      <c r="Z138" s="292"/>
    </row>
    <row r="139" ht="15.75" customHeight="1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</row>
    <row r="140" ht="15.75" customHeight="1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</row>
    <row r="141" ht="15.75" customHeight="1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</row>
    <row r="142" ht="15.75" customHeight="1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</row>
    <row r="143" ht="15.75" customHeight="1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</row>
    <row r="144" ht="15.75" customHeight="1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  <c r="X144" s="292"/>
      <c r="Y144" s="292"/>
      <c r="Z144" s="292"/>
    </row>
    <row r="145" ht="15.75" customHeight="1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</row>
    <row r="146" ht="15.75" customHeight="1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</row>
    <row r="147" ht="15.75" customHeight="1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</row>
    <row r="148" ht="15.75" customHeight="1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</row>
    <row r="149" ht="15.75" customHeight="1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</row>
    <row r="150" ht="15.75" customHeight="1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  <c r="X150" s="292"/>
      <c r="Y150" s="292"/>
      <c r="Z150" s="292"/>
    </row>
    <row r="151" ht="15.75" customHeight="1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  <c r="X151" s="292"/>
      <c r="Y151" s="292"/>
      <c r="Z151" s="292"/>
    </row>
    <row r="152" ht="15.75" customHeight="1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  <c r="X152" s="292"/>
      <c r="Y152" s="292"/>
      <c r="Z152" s="292"/>
    </row>
    <row r="153" ht="15.75" customHeight="1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</row>
    <row r="154" ht="15.75" customHeight="1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</row>
    <row r="155" ht="15.75" customHeight="1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</row>
    <row r="156" ht="15.75" customHeight="1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</row>
    <row r="157" ht="15.75" customHeight="1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</row>
    <row r="158" ht="15.75" customHeight="1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  <c r="X158" s="292"/>
      <c r="Y158" s="292"/>
      <c r="Z158" s="292"/>
    </row>
    <row r="159" ht="15.75" customHeight="1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</row>
    <row r="160" ht="15.75" customHeight="1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</row>
    <row r="161" ht="15.75" customHeight="1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</row>
    <row r="162" ht="15.75" customHeight="1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</row>
    <row r="163" ht="15.75" customHeight="1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</row>
    <row r="164" ht="15.75" customHeight="1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</row>
    <row r="165" ht="15.75" customHeight="1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</row>
    <row r="166" ht="15.75" customHeight="1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</row>
    <row r="167" ht="15.75" customHeight="1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</row>
    <row r="168" ht="15.75" customHeight="1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</row>
    <row r="169" ht="15.75" customHeight="1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</row>
    <row r="170" ht="15.75" customHeight="1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</row>
    <row r="171" ht="15.75" customHeight="1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</row>
    <row r="172" ht="15.75" customHeight="1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</row>
    <row r="173" ht="15.75" customHeight="1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  <c r="X173" s="292"/>
      <c r="Y173" s="292"/>
      <c r="Z173" s="292"/>
    </row>
    <row r="174" ht="15.75" customHeight="1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</row>
    <row r="175" ht="15.75" customHeight="1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</row>
    <row r="176" ht="15.75" customHeight="1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</row>
    <row r="177" ht="15.75" customHeight="1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</row>
    <row r="178" ht="15.75" customHeight="1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</row>
    <row r="179" ht="15.75" customHeight="1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</row>
    <row r="180" ht="15.75" customHeight="1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</row>
    <row r="181" ht="15.75" customHeight="1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</row>
    <row r="182" ht="15.75" customHeight="1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</row>
    <row r="183" ht="15.75" customHeight="1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</row>
    <row r="184" ht="15.75" customHeight="1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</row>
    <row r="185" ht="15.75" customHeight="1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</row>
    <row r="186" ht="15.75" customHeight="1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</row>
    <row r="187" ht="15.75" customHeight="1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</row>
    <row r="188" ht="15.75" customHeight="1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</row>
    <row r="189" ht="15.75" customHeight="1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</row>
    <row r="190" ht="15.75" customHeight="1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</row>
    <row r="191" ht="15.75" customHeight="1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</row>
    <row r="192" ht="15.75" customHeight="1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</row>
    <row r="193" ht="15.75" customHeight="1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</row>
    <row r="194" ht="15.75" customHeight="1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</row>
    <row r="195" ht="15.75" customHeight="1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</row>
    <row r="196" ht="15.75" customHeight="1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</row>
    <row r="197" ht="15.75" customHeight="1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</row>
    <row r="198" ht="15.75" customHeight="1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</row>
    <row r="199" ht="15.75" customHeight="1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</row>
    <row r="200" ht="15.75" customHeight="1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</row>
    <row r="201" ht="15.75" customHeight="1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</row>
    <row r="202" ht="15.75" customHeight="1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</row>
    <row r="203" ht="15.75" customHeight="1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</row>
    <row r="204" ht="15.75" customHeight="1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</row>
    <row r="205" ht="15.75" customHeight="1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</row>
    <row r="206" ht="15.75" customHeight="1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</row>
    <row r="207" ht="15.75" customHeight="1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</row>
    <row r="208" ht="15.75" customHeight="1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</row>
    <row r="209" ht="15.75" customHeight="1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</row>
    <row r="210" ht="15.75" customHeight="1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</row>
    <row r="211" ht="15.75" customHeight="1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</row>
    <row r="212" ht="15.75" customHeight="1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</row>
    <row r="213" ht="15.75" customHeight="1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</row>
    <row r="214" ht="15.75" customHeight="1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</row>
    <row r="215" ht="15.75" customHeight="1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</row>
    <row r="216" ht="15.75" customHeight="1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</row>
    <row r="217" ht="15.75" customHeight="1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</row>
    <row r="218" ht="15.75" customHeight="1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</row>
    <row r="219" ht="15.75" customHeight="1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</row>
    <row r="220" ht="15.75" customHeight="1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</row>
    <row r="221" ht="15.75" customHeight="1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</row>
    <row r="222" ht="15.75" customHeight="1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</row>
    <row r="223" ht="15.75" customHeight="1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</row>
    <row r="224" ht="15.75" customHeight="1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</row>
    <row r="225" ht="15.75" customHeight="1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</row>
    <row r="226" ht="15.75" customHeight="1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</row>
    <row r="227" ht="15.75" customHeight="1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</row>
    <row r="228" ht="15.75" customHeight="1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</row>
    <row r="229" ht="15.75" customHeight="1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</row>
    <row r="230" ht="15.75" customHeight="1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</row>
    <row r="231" ht="15.75" customHeight="1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</row>
    <row r="232" ht="15.75" customHeight="1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</row>
    <row r="233" ht="15.75" customHeight="1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</row>
    <row r="234" ht="15.75" customHeight="1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</row>
    <row r="235" ht="15.75" customHeight="1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</row>
    <row r="236" ht="15.75" customHeight="1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</row>
    <row r="237" ht="15.75" customHeight="1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</row>
    <row r="238" ht="15.75" customHeight="1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</row>
    <row r="239" ht="15.75" customHeight="1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</row>
    <row r="240" ht="15.75" customHeight="1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</row>
    <row r="241" ht="15.75" customHeight="1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</row>
    <row r="242" ht="15.75" customHeight="1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</row>
    <row r="243" ht="15.75" customHeight="1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</row>
    <row r="244" ht="15.75" customHeight="1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</row>
    <row r="245" ht="15.75" customHeight="1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</row>
    <row r="246" ht="15.75" customHeight="1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</row>
    <row r="247" ht="15.75" customHeight="1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</row>
    <row r="248" ht="15.75" customHeight="1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</row>
    <row r="249" ht="15.75" customHeight="1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</row>
    <row r="250" ht="15.75" customHeight="1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</row>
    <row r="251" ht="15.75" customHeight="1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</row>
    <row r="252" ht="15.75" customHeight="1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</row>
    <row r="253" ht="15.75" customHeight="1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</row>
    <row r="254" ht="15.75" customHeight="1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</row>
    <row r="255" ht="15.75" customHeight="1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</row>
    <row r="256" ht="15.75" customHeight="1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</row>
    <row r="257" ht="15.75" customHeight="1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</row>
    <row r="258" ht="15.75" customHeight="1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</row>
    <row r="259" ht="15.75" customHeight="1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</row>
    <row r="260" ht="15.75" customHeight="1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</row>
    <row r="261" ht="15.75" customHeight="1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</row>
    <row r="262" ht="15.75" customHeight="1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</row>
    <row r="263" ht="15.75" customHeight="1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</row>
    <row r="264" ht="15.75" customHeight="1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</row>
    <row r="265" ht="15.75" customHeight="1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</row>
    <row r="266" ht="15.75" customHeight="1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</row>
    <row r="267" ht="15.75" customHeight="1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</row>
    <row r="268" ht="15.75" customHeight="1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</row>
    <row r="269" ht="15.75" customHeight="1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</row>
    <row r="270" ht="15.75" customHeight="1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</row>
    <row r="271" ht="15.75" customHeight="1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</row>
    <row r="272" ht="15.75" customHeight="1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</row>
    <row r="273" ht="15.75" customHeight="1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</row>
    <row r="274" ht="15.75" customHeight="1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</row>
    <row r="275" ht="15.75" customHeight="1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</row>
    <row r="276" ht="15.75" customHeight="1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</row>
    <row r="277" ht="15.75" customHeight="1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</row>
    <row r="278" ht="15.75" customHeight="1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</row>
    <row r="279" ht="15.75" customHeight="1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</row>
    <row r="280" ht="15.75" customHeight="1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</row>
    <row r="281" ht="15.75" customHeight="1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</row>
    <row r="282" ht="15.75" customHeight="1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</row>
    <row r="283" ht="15.75" customHeight="1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</row>
    <row r="284" ht="15.75" customHeight="1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</row>
    <row r="285" ht="15.75" customHeight="1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</row>
    <row r="286" ht="15.75" customHeight="1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</row>
    <row r="287" ht="15.75" customHeight="1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</row>
    <row r="288" ht="15.75" customHeight="1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</row>
    <row r="289" ht="15.75" customHeight="1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</row>
    <row r="290" ht="15.75" customHeight="1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</row>
    <row r="291" ht="15.75" customHeight="1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</row>
    <row r="292" ht="15.75" customHeight="1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</row>
    <row r="293" ht="15.75" customHeight="1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</row>
    <row r="294" ht="15.75" customHeight="1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</row>
    <row r="295" ht="15.75" customHeight="1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</row>
    <row r="296" ht="15.75" customHeight="1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</row>
    <row r="297" ht="15.75" customHeight="1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</row>
    <row r="298" ht="15.75" customHeight="1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</row>
    <row r="299" ht="15.75" customHeight="1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</row>
    <row r="300" ht="15.75" customHeight="1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</row>
    <row r="301" ht="15.75" customHeight="1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</row>
    <row r="302" ht="15.75" customHeight="1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</row>
    <row r="303" ht="15.75" customHeight="1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</row>
    <row r="304" ht="15.75" customHeight="1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</row>
    <row r="305" ht="15.75" customHeight="1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</row>
    <row r="306" ht="15.75" customHeight="1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</row>
    <row r="307" ht="15.75" customHeight="1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</row>
    <row r="308" ht="15.75" customHeight="1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</row>
    <row r="309" ht="15.75" customHeight="1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</row>
    <row r="310" ht="15.75" customHeight="1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</row>
    <row r="311" ht="15.75" customHeight="1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</row>
    <row r="312" ht="15.75" customHeight="1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</row>
    <row r="313" ht="15.75" customHeight="1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</row>
    <row r="314" ht="15.75" customHeight="1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</row>
    <row r="315" ht="15.75" customHeight="1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</row>
    <row r="316" ht="15.75" customHeight="1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</row>
    <row r="317" ht="15.75" customHeight="1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</row>
    <row r="318" ht="15.75" customHeight="1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</row>
    <row r="319" ht="15.75" customHeight="1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</row>
    <row r="320" ht="15.75" customHeight="1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</row>
    <row r="321" ht="15.75" customHeight="1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</row>
    <row r="322" ht="15.75" customHeight="1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</row>
    <row r="323" ht="15.75" customHeight="1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</row>
    <row r="324" ht="15.75" customHeight="1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</row>
    <row r="325" ht="15.75" customHeight="1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</row>
    <row r="326" ht="15.75" customHeight="1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</row>
    <row r="327" ht="15.75" customHeight="1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</row>
    <row r="328" ht="15.75" customHeight="1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</row>
    <row r="329" ht="15.75" customHeight="1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</row>
    <row r="330" ht="15.75" customHeight="1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</row>
    <row r="331" ht="15.75" customHeight="1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</row>
    <row r="332" ht="15.75" customHeight="1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</row>
    <row r="333" ht="15.75" customHeight="1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</row>
    <row r="334" ht="15.75" customHeight="1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</row>
    <row r="335" ht="15.75" customHeight="1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</row>
    <row r="336" ht="15.75" customHeight="1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</row>
    <row r="337" ht="15.75" customHeight="1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</row>
    <row r="338" ht="15.75" customHeight="1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</row>
    <row r="339" ht="15.75" customHeight="1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</row>
    <row r="340" ht="15.75" customHeight="1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</row>
    <row r="341" ht="15.75" customHeight="1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</row>
    <row r="342" ht="15.75" customHeight="1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</row>
    <row r="343" ht="15.75" customHeight="1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</row>
    <row r="344" ht="15.75" customHeight="1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</row>
    <row r="345" ht="15.75" customHeight="1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</row>
    <row r="346" ht="15.75" customHeight="1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</row>
    <row r="347" ht="15.75" customHeight="1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</row>
    <row r="348" ht="15.75" customHeight="1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</row>
    <row r="349" ht="15.75" customHeight="1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</row>
    <row r="350" ht="15.75" customHeight="1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</row>
    <row r="351" ht="15.75" customHeight="1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</row>
    <row r="352" ht="15.75" customHeight="1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</row>
    <row r="353" ht="15.75" customHeight="1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</row>
    <row r="354" ht="15.75" customHeight="1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</row>
    <row r="355" ht="15.75" customHeight="1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</row>
    <row r="356" ht="15.75" customHeight="1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</row>
    <row r="357" ht="15.75" customHeight="1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</row>
    <row r="358" ht="15.75" customHeight="1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</row>
    <row r="359" ht="15.75" customHeight="1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</row>
    <row r="360" ht="15.75" customHeight="1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</row>
    <row r="361" ht="15.75" customHeight="1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</row>
    <row r="362" ht="15.75" customHeight="1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</row>
    <row r="363" ht="15.75" customHeight="1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</row>
    <row r="364" ht="15.75" customHeight="1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</row>
    <row r="365" ht="15.75" customHeight="1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</row>
    <row r="366" ht="15.75" customHeight="1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</row>
    <row r="367" ht="15.75" customHeight="1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</row>
    <row r="368" ht="15.75" customHeight="1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</row>
    <row r="369" ht="15.75" customHeight="1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</row>
    <row r="370" ht="15.75" customHeight="1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</row>
    <row r="371" ht="15.75" customHeight="1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</row>
    <row r="372" ht="15.75" customHeight="1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</row>
    <row r="373" ht="15.75" customHeight="1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</row>
    <row r="374" ht="15.75" customHeight="1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</row>
    <row r="375" ht="15.75" customHeight="1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</row>
    <row r="376" ht="15.75" customHeight="1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</row>
    <row r="377" ht="15.75" customHeight="1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</row>
    <row r="378" ht="15.75" customHeight="1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</row>
    <row r="379" ht="15.75" customHeight="1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</row>
    <row r="380" ht="15.75" customHeight="1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</row>
    <row r="381" ht="15.75" customHeight="1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</row>
    <row r="382" ht="15.75" customHeight="1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</row>
    <row r="383" ht="15.75" customHeight="1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</row>
    <row r="384" ht="15.75" customHeight="1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</row>
    <row r="385" ht="15.75" customHeight="1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</row>
    <row r="386" ht="15.75" customHeight="1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</row>
    <row r="387" ht="15.75" customHeight="1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</row>
    <row r="388" ht="15.75" customHeight="1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</row>
    <row r="389" ht="15.75" customHeight="1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</row>
    <row r="390" ht="15.75" customHeight="1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</row>
    <row r="391" ht="15.75" customHeight="1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</row>
    <row r="392" ht="15.75" customHeight="1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</row>
    <row r="393" ht="15.75" customHeight="1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</row>
    <row r="394" ht="15.75" customHeight="1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</row>
    <row r="395" ht="15.75" customHeight="1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</row>
    <row r="396" ht="15.75" customHeight="1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</row>
    <row r="397" ht="15.75" customHeight="1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</row>
    <row r="398" ht="15.75" customHeight="1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</row>
    <row r="399" ht="15.75" customHeight="1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</row>
    <row r="400" ht="15.75" customHeight="1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</row>
    <row r="401" ht="15.75" customHeight="1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</row>
    <row r="402" ht="15.75" customHeight="1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</row>
    <row r="403" ht="15.75" customHeight="1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</row>
    <row r="404" ht="15.75" customHeight="1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</row>
    <row r="405" ht="15.75" customHeight="1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</row>
    <row r="406" ht="15.75" customHeight="1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</row>
    <row r="407" ht="15.75" customHeight="1">
      <c r="A407" s="292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  <c r="V407" s="292"/>
      <c r="W407" s="292"/>
      <c r="X407" s="292"/>
      <c r="Y407" s="292"/>
      <c r="Z407" s="292"/>
    </row>
    <row r="408" ht="15.75" customHeight="1">
      <c r="A408" s="292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  <c r="V408" s="292"/>
      <c r="W408" s="292"/>
      <c r="X408" s="292"/>
      <c r="Y408" s="292"/>
      <c r="Z408" s="292"/>
    </row>
    <row r="409" ht="15.75" customHeight="1">
      <c r="A409" s="292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  <c r="X409" s="292"/>
      <c r="Y409" s="292"/>
      <c r="Z409" s="292"/>
    </row>
    <row r="410" ht="15.75" customHeight="1">
      <c r="A410" s="292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  <c r="X410" s="292"/>
      <c r="Y410" s="292"/>
      <c r="Z410" s="292"/>
    </row>
    <row r="411" ht="15.75" customHeight="1">
      <c r="A411" s="292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  <c r="V411" s="292"/>
      <c r="W411" s="292"/>
      <c r="X411" s="292"/>
      <c r="Y411" s="292"/>
      <c r="Z411" s="292"/>
    </row>
    <row r="412" ht="15.75" customHeight="1">
      <c r="A412" s="292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  <c r="V412" s="292"/>
      <c r="W412" s="292"/>
      <c r="X412" s="292"/>
      <c r="Y412" s="292"/>
      <c r="Z412" s="292"/>
    </row>
    <row r="413" ht="15.75" customHeight="1">
      <c r="A413" s="292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  <c r="V413" s="292"/>
      <c r="W413" s="292"/>
      <c r="X413" s="292"/>
      <c r="Y413" s="292"/>
      <c r="Z413" s="292"/>
    </row>
    <row r="414" ht="15.75" customHeight="1">
      <c r="A414" s="292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  <c r="V414" s="292"/>
      <c r="W414" s="292"/>
      <c r="X414" s="292"/>
      <c r="Y414" s="292"/>
      <c r="Z414" s="292"/>
    </row>
    <row r="415" ht="15.75" customHeight="1">
      <c r="A415" s="292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  <c r="V415" s="292"/>
      <c r="W415" s="292"/>
      <c r="X415" s="292"/>
      <c r="Y415" s="292"/>
      <c r="Z415" s="292"/>
    </row>
    <row r="416" ht="15.75" customHeight="1">
      <c r="A416" s="292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  <c r="V416" s="292"/>
      <c r="W416" s="292"/>
      <c r="X416" s="292"/>
      <c r="Y416" s="292"/>
      <c r="Z416" s="292"/>
    </row>
    <row r="417" ht="15.75" customHeight="1">
      <c r="A417" s="292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  <c r="V417" s="292"/>
      <c r="W417" s="292"/>
      <c r="X417" s="292"/>
      <c r="Y417" s="292"/>
      <c r="Z417" s="292"/>
    </row>
    <row r="418" ht="15.75" customHeight="1">
      <c r="A418" s="292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  <c r="V418" s="292"/>
      <c r="W418" s="292"/>
      <c r="X418" s="292"/>
      <c r="Y418" s="292"/>
      <c r="Z418" s="292"/>
    </row>
    <row r="419" ht="15.75" customHeight="1">
      <c r="A419" s="292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  <c r="V419" s="292"/>
      <c r="W419" s="292"/>
      <c r="X419" s="292"/>
      <c r="Y419" s="292"/>
      <c r="Z419" s="292"/>
    </row>
    <row r="420" ht="15.75" customHeight="1">
      <c r="A420" s="292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  <c r="V420" s="292"/>
      <c r="W420" s="292"/>
      <c r="X420" s="292"/>
      <c r="Y420" s="292"/>
      <c r="Z420" s="292"/>
    </row>
    <row r="421" ht="15.75" customHeight="1">
      <c r="A421" s="292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  <c r="V421" s="292"/>
      <c r="W421" s="292"/>
      <c r="X421" s="292"/>
      <c r="Y421" s="292"/>
      <c r="Z421" s="292"/>
    </row>
    <row r="422" ht="15.75" customHeight="1">
      <c r="A422" s="292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  <c r="V422" s="292"/>
      <c r="W422" s="292"/>
      <c r="X422" s="292"/>
      <c r="Y422" s="292"/>
      <c r="Z422" s="292"/>
    </row>
    <row r="423" ht="15.75" customHeight="1">
      <c r="A423" s="292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  <c r="V423" s="292"/>
      <c r="W423" s="292"/>
      <c r="X423" s="292"/>
      <c r="Y423" s="292"/>
      <c r="Z423" s="292"/>
    </row>
    <row r="424" ht="15.75" customHeight="1">
      <c r="A424" s="292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  <c r="V424" s="292"/>
      <c r="W424" s="292"/>
      <c r="X424" s="292"/>
      <c r="Y424" s="292"/>
      <c r="Z424" s="292"/>
    </row>
    <row r="425" ht="15.75" customHeight="1">
      <c r="A425" s="292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  <c r="V425" s="292"/>
      <c r="W425" s="292"/>
      <c r="X425" s="292"/>
      <c r="Y425" s="292"/>
      <c r="Z425" s="292"/>
    </row>
    <row r="426" ht="15.75" customHeight="1">
      <c r="A426" s="292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  <c r="V426" s="292"/>
      <c r="W426" s="292"/>
      <c r="X426" s="292"/>
      <c r="Y426" s="292"/>
      <c r="Z426" s="292"/>
    </row>
    <row r="427" ht="15.75" customHeight="1">
      <c r="A427" s="292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  <c r="V427" s="292"/>
      <c r="W427" s="292"/>
      <c r="X427" s="292"/>
      <c r="Y427" s="292"/>
      <c r="Z427" s="292"/>
    </row>
    <row r="428" ht="15.75" customHeight="1">
      <c r="A428" s="292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  <c r="V428" s="292"/>
      <c r="W428" s="292"/>
      <c r="X428" s="292"/>
      <c r="Y428" s="292"/>
      <c r="Z428" s="292"/>
    </row>
    <row r="429" ht="15.75" customHeight="1">
      <c r="A429" s="292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  <c r="X429" s="292"/>
      <c r="Y429" s="292"/>
      <c r="Z429" s="292"/>
    </row>
    <row r="430" ht="15.75" customHeight="1">
      <c r="A430" s="292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  <c r="X430" s="292"/>
      <c r="Y430" s="292"/>
      <c r="Z430" s="292"/>
    </row>
    <row r="431" ht="15.75" customHeight="1">
      <c r="A431" s="292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  <c r="V431" s="292"/>
      <c r="W431" s="292"/>
      <c r="X431" s="292"/>
      <c r="Y431" s="292"/>
      <c r="Z431" s="292"/>
    </row>
    <row r="432" ht="15.75" customHeight="1">
      <c r="A432" s="292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  <c r="V432" s="292"/>
      <c r="W432" s="292"/>
      <c r="X432" s="292"/>
      <c r="Y432" s="292"/>
      <c r="Z432" s="292"/>
    </row>
    <row r="433" ht="15.75" customHeight="1">
      <c r="A433" s="292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  <c r="V433" s="292"/>
      <c r="W433" s="292"/>
      <c r="X433" s="292"/>
      <c r="Y433" s="292"/>
      <c r="Z433" s="292"/>
    </row>
    <row r="434" ht="15.75" customHeight="1">
      <c r="A434" s="292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  <c r="V434" s="292"/>
      <c r="W434" s="292"/>
      <c r="X434" s="292"/>
      <c r="Y434" s="292"/>
      <c r="Z434" s="292"/>
    </row>
    <row r="435" ht="15.75" customHeight="1">
      <c r="A435" s="292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  <c r="V435" s="292"/>
      <c r="W435" s="292"/>
      <c r="X435" s="292"/>
      <c r="Y435" s="292"/>
      <c r="Z435" s="292"/>
    </row>
    <row r="436" ht="15.75" customHeight="1">
      <c r="A436" s="292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  <c r="V436" s="292"/>
      <c r="W436" s="292"/>
      <c r="X436" s="292"/>
      <c r="Y436" s="292"/>
      <c r="Z436" s="292"/>
    </row>
    <row r="437" ht="15.75" customHeight="1">
      <c r="A437" s="292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  <c r="V437" s="292"/>
      <c r="W437" s="292"/>
      <c r="X437" s="292"/>
      <c r="Y437" s="292"/>
      <c r="Z437" s="292"/>
    </row>
    <row r="438" ht="15.75" customHeight="1">
      <c r="A438" s="292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  <c r="V438" s="292"/>
      <c r="W438" s="292"/>
      <c r="X438" s="292"/>
      <c r="Y438" s="292"/>
      <c r="Z438" s="292"/>
    </row>
    <row r="439" ht="15.75" customHeight="1">
      <c r="A439" s="292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  <c r="V439" s="292"/>
      <c r="W439" s="292"/>
      <c r="X439" s="292"/>
      <c r="Y439" s="292"/>
      <c r="Z439" s="292"/>
    </row>
    <row r="440" ht="15.75" customHeight="1">
      <c r="A440" s="292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  <c r="V440" s="292"/>
      <c r="W440" s="292"/>
      <c r="X440" s="292"/>
      <c r="Y440" s="292"/>
      <c r="Z440" s="292"/>
    </row>
    <row r="441" ht="15.75" customHeight="1">
      <c r="A441" s="292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  <c r="V441" s="292"/>
      <c r="W441" s="292"/>
      <c r="X441" s="292"/>
      <c r="Y441" s="292"/>
      <c r="Z441" s="292"/>
    </row>
    <row r="442" ht="15.75" customHeight="1">
      <c r="A442" s="292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  <c r="V442" s="292"/>
      <c r="W442" s="292"/>
      <c r="X442" s="292"/>
      <c r="Y442" s="292"/>
      <c r="Z442" s="292"/>
    </row>
    <row r="443" ht="15.75" customHeight="1">
      <c r="A443" s="292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  <c r="V443" s="292"/>
      <c r="W443" s="292"/>
      <c r="X443" s="292"/>
      <c r="Y443" s="292"/>
      <c r="Z443" s="292"/>
    </row>
    <row r="444" ht="15.75" customHeight="1">
      <c r="A444" s="292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  <c r="V444" s="292"/>
      <c r="W444" s="292"/>
      <c r="X444" s="292"/>
      <c r="Y444" s="292"/>
      <c r="Z444" s="292"/>
    </row>
    <row r="445" ht="15.75" customHeight="1">
      <c r="A445" s="292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  <c r="V445" s="292"/>
      <c r="W445" s="292"/>
      <c r="X445" s="292"/>
      <c r="Y445" s="292"/>
      <c r="Z445" s="292"/>
    </row>
    <row r="446" ht="15.75" customHeight="1">
      <c r="A446" s="292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  <c r="V446" s="292"/>
      <c r="W446" s="292"/>
      <c r="X446" s="292"/>
      <c r="Y446" s="292"/>
      <c r="Z446" s="292"/>
    </row>
    <row r="447" ht="15.75" customHeight="1">
      <c r="A447" s="292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  <c r="V447" s="292"/>
      <c r="W447" s="292"/>
      <c r="X447" s="292"/>
      <c r="Y447" s="292"/>
      <c r="Z447" s="292"/>
    </row>
    <row r="448" ht="15.75" customHeight="1">
      <c r="A448" s="292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  <c r="V448" s="292"/>
      <c r="W448" s="292"/>
      <c r="X448" s="292"/>
      <c r="Y448" s="292"/>
      <c r="Z448" s="292"/>
    </row>
    <row r="449" ht="15.75" customHeight="1">
      <c r="A449" s="292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  <c r="V449" s="292"/>
      <c r="W449" s="292"/>
      <c r="X449" s="292"/>
      <c r="Y449" s="292"/>
      <c r="Z449" s="292"/>
    </row>
    <row r="450" ht="15.75" customHeight="1">
      <c r="A450" s="292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  <c r="V450" s="292"/>
      <c r="W450" s="292"/>
      <c r="X450" s="292"/>
      <c r="Y450" s="292"/>
      <c r="Z450" s="292"/>
    </row>
    <row r="451" ht="15.75" customHeight="1">
      <c r="A451" s="292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  <c r="V451" s="292"/>
      <c r="W451" s="292"/>
      <c r="X451" s="292"/>
      <c r="Y451" s="292"/>
      <c r="Z451" s="292"/>
    </row>
    <row r="452" ht="15.75" customHeight="1">
      <c r="A452" s="292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  <c r="V452" s="292"/>
      <c r="W452" s="292"/>
      <c r="X452" s="292"/>
      <c r="Y452" s="292"/>
      <c r="Z452" s="292"/>
    </row>
    <row r="453" ht="15.75" customHeight="1">
      <c r="A453" s="292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  <c r="V453" s="292"/>
      <c r="W453" s="292"/>
      <c r="X453" s="292"/>
      <c r="Y453" s="292"/>
      <c r="Z453" s="292"/>
    </row>
    <row r="454" ht="15.75" customHeight="1">
      <c r="A454" s="292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  <c r="V454" s="292"/>
      <c r="W454" s="292"/>
      <c r="X454" s="292"/>
      <c r="Y454" s="292"/>
      <c r="Z454" s="292"/>
    </row>
    <row r="455" ht="15.75" customHeight="1">
      <c r="A455" s="292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  <c r="V455" s="292"/>
      <c r="W455" s="292"/>
      <c r="X455" s="292"/>
      <c r="Y455" s="292"/>
      <c r="Z455" s="292"/>
    </row>
    <row r="456" ht="15.75" customHeight="1">
      <c r="A456" s="292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  <c r="V456" s="292"/>
      <c r="W456" s="292"/>
      <c r="X456" s="292"/>
      <c r="Y456" s="292"/>
      <c r="Z456" s="292"/>
    </row>
    <row r="457" ht="15.75" customHeight="1">
      <c r="A457" s="292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  <c r="V457" s="292"/>
      <c r="W457" s="292"/>
      <c r="X457" s="292"/>
      <c r="Y457" s="292"/>
      <c r="Z457" s="292"/>
    </row>
    <row r="458" ht="15.75" customHeight="1">
      <c r="A458" s="292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  <c r="V458" s="292"/>
      <c r="W458" s="292"/>
      <c r="X458" s="292"/>
      <c r="Y458" s="292"/>
      <c r="Z458" s="292"/>
    </row>
    <row r="459" ht="15.75" customHeight="1">
      <c r="A459" s="292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  <c r="V459" s="292"/>
      <c r="W459" s="292"/>
      <c r="X459" s="292"/>
      <c r="Y459" s="292"/>
      <c r="Z459" s="292"/>
    </row>
    <row r="460" ht="15.75" customHeight="1">
      <c r="A460" s="292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  <c r="V460" s="292"/>
      <c r="W460" s="292"/>
      <c r="X460" s="292"/>
      <c r="Y460" s="292"/>
      <c r="Z460" s="292"/>
    </row>
    <row r="461" ht="15.75" customHeight="1">
      <c r="A461" s="292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  <c r="V461" s="292"/>
      <c r="W461" s="292"/>
      <c r="X461" s="292"/>
      <c r="Y461" s="292"/>
      <c r="Z461" s="292"/>
    </row>
    <row r="462" ht="15.75" customHeight="1">
      <c r="A462" s="292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  <c r="V462" s="292"/>
      <c r="W462" s="292"/>
      <c r="X462" s="292"/>
      <c r="Y462" s="292"/>
      <c r="Z462" s="292"/>
    </row>
    <row r="463" ht="15.75" customHeight="1">
      <c r="A463" s="292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  <c r="V463" s="292"/>
      <c r="W463" s="292"/>
      <c r="X463" s="292"/>
      <c r="Y463" s="292"/>
      <c r="Z463" s="292"/>
    </row>
    <row r="464" ht="15.75" customHeight="1">
      <c r="A464" s="292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  <c r="V464" s="292"/>
      <c r="W464" s="292"/>
      <c r="X464" s="292"/>
      <c r="Y464" s="292"/>
      <c r="Z464" s="292"/>
    </row>
    <row r="465" ht="15.75" customHeight="1">
      <c r="A465" s="292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  <c r="V465" s="292"/>
      <c r="W465" s="292"/>
      <c r="X465" s="292"/>
      <c r="Y465" s="292"/>
      <c r="Z465" s="292"/>
    </row>
    <row r="466" ht="15.75" customHeight="1">
      <c r="A466" s="292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  <c r="V466" s="292"/>
      <c r="W466" s="292"/>
      <c r="X466" s="292"/>
      <c r="Y466" s="292"/>
      <c r="Z466" s="292"/>
    </row>
    <row r="467" ht="15.75" customHeight="1">
      <c r="A467" s="292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  <c r="V467" s="292"/>
      <c r="W467" s="292"/>
      <c r="X467" s="292"/>
      <c r="Y467" s="292"/>
      <c r="Z467" s="292"/>
    </row>
    <row r="468" ht="15.75" customHeight="1">
      <c r="A468" s="292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  <c r="V468" s="292"/>
      <c r="W468" s="292"/>
      <c r="X468" s="292"/>
      <c r="Y468" s="292"/>
      <c r="Z468" s="292"/>
    </row>
    <row r="469" ht="15.75" customHeight="1">
      <c r="A469" s="29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  <c r="X469" s="292"/>
      <c r="Y469" s="292"/>
      <c r="Z469" s="292"/>
    </row>
    <row r="470" ht="15.75" customHeight="1">
      <c r="A470" s="292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  <c r="V470" s="292"/>
      <c r="W470" s="292"/>
      <c r="X470" s="292"/>
      <c r="Y470" s="292"/>
      <c r="Z470" s="292"/>
    </row>
    <row r="471" ht="15.75" customHeight="1">
      <c r="A471" s="292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  <c r="X471" s="292"/>
      <c r="Y471" s="292"/>
      <c r="Z471" s="292"/>
    </row>
    <row r="472" ht="15.75" customHeight="1">
      <c r="A472" s="292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  <c r="X472" s="292"/>
      <c r="Y472" s="292"/>
      <c r="Z472" s="292"/>
    </row>
    <row r="473" ht="15.75" customHeight="1">
      <c r="A473" s="292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  <c r="X473" s="292"/>
      <c r="Y473" s="292"/>
      <c r="Z473" s="292"/>
    </row>
    <row r="474" ht="15.75" customHeight="1">
      <c r="A474" s="292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  <c r="X474" s="292"/>
      <c r="Y474" s="292"/>
      <c r="Z474" s="292"/>
    </row>
    <row r="475" ht="15.75" customHeight="1">
      <c r="A475" s="292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  <c r="V475" s="292"/>
      <c r="W475" s="292"/>
      <c r="X475" s="292"/>
      <c r="Y475" s="292"/>
      <c r="Z475" s="292"/>
    </row>
    <row r="476" ht="15.75" customHeight="1">
      <c r="A476" s="292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  <c r="V476" s="292"/>
      <c r="W476" s="292"/>
      <c r="X476" s="292"/>
      <c r="Y476" s="292"/>
      <c r="Z476" s="292"/>
    </row>
    <row r="477" ht="15.75" customHeight="1">
      <c r="A477" s="292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  <c r="V477" s="292"/>
      <c r="W477" s="292"/>
      <c r="X477" s="292"/>
      <c r="Y477" s="292"/>
      <c r="Z477" s="292"/>
    </row>
    <row r="478" ht="15.75" customHeight="1">
      <c r="A478" s="292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  <c r="V478" s="292"/>
      <c r="W478" s="292"/>
      <c r="X478" s="292"/>
      <c r="Y478" s="292"/>
      <c r="Z478" s="292"/>
    </row>
    <row r="479" ht="15.75" customHeight="1">
      <c r="A479" s="292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  <c r="V479" s="292"/>
      <c r="W479" s="292"/>
      <c r="X479" s="292"/>
      <c r="Y479" s="292"/>
      <c r="Z479" s="292"/>
    </row>
    <row r="480" ht="15.75" customHeight="1">
      <c r="A480" s="292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  <c r="V480" s="292"/>
      <c r="W480" s="292"/>
      <c r="X480" s="292"/>
      <c r="Y480" s="292"/>
      <c r="Z480" s="292"/>
    </row>
    <row r="481" ht="15.75" customHeight="1">
      <c r="A481" s="292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  <c r="V481" s="292"/>
      <c r="W481" s="292"/>
      <c r="X481" s="292"/>
      <c r="Y481" s="292"/>
      <c r="Z481" s="292"/>
    </row>
    <row r="482" ht="15.75" customHeight="1">
      <c r="A482" s="292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  <c r="V482" s="292"/>
      <c r="W482" s="292"/>
      <c r="X482" s="292"/>
      <c r="Y482" s="292"/>
      <c r="Z482" s="292"/>
    </row>
    <row r="483" ht="15.75" customHeight="1">
      <c r="A483" s="292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  <c r="V483" s="292"/>
      <c r="W483" s="292"/>
      <c r="X483" s="292"/>
      <c r="Y483" s="292"/>
      <c r="Z483" s="292"/>
    </row>
    <row r="484" ht="15.75" customHeight="1">
      <c r="A484" s="292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  <c r="V484" s="292"/>
      <c r="W484" s="292"/>
      <c r="X484" s="292"/>
      <c r="Y484" s="292"/>
      <c r="Z484" s="292"/>
    </row>
    <row r="485" ht="15.75" customHeight="1">
      <c r="A485" s="292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  <c r="V485" s="292"/>
      <c r="W485" s="292"/>
      <c r="X485" s="292"/>
      <c r="Y485" s="292"/>
      <c r="Z485" s="292"/>
    </row>
    <row r="486" ht="15.75" customHeight="1">
      <c r="A486" s="292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  <c r="V486" s="292"/>
      <c r="W486" s="292"/>
      <c r="X486" s="292"/>
      <c r="Y486" s="292"/>
      <c r="Z486" s="292"/>
    </row>
    <row r="487" ht="15.75" customHeight="1">
      <c r="A487" s="292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  <c r="V487" s="292"/>
      <c r="W487" s="292"/>
      <c r="X487" s="292"/>
      <c r="Y487" s="292"/>
      <c r="Z487" s="292"/>
    </row>
    <row r="488" ht="15.75" customHeight="1">
      <c r="A488" s="292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  <c r="V488" s="292"/>
      <c r="W488" s="292"/>
      <c r="X488" s="292"/>
      <c r="Y488" s="292"/>
      <c r="Z488" s="292"/>
    </row>
    <row r="489" ht="15.75" customHeight="1">
      <c r="A489" s="292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  <c r="V489" s="292"/>
      <c r="W489" s="292"/>
      <c r="X489" s="292"/>
      <c r="Y489" s="292"/>
      <c r="Z489" s="292"/>
    </row>
    <row r="490" ht="15.75" customHeight="1">
      <c r="A490" s="292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  <c r="V490" s="292"/>
      <c r="W490" s="292"/>
      <c r="X490" s="292"/>
      <c r="Y490" s="292"/>
      <c r="Z490" s="292"/>
    </row>
    <row r="491" ht="15.75" customHeight="1">
      <c r="A491" s="292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  <c r="V491" s="292"/>
      <c r="W491" s="292"/>
      <c r="X491" s="292"/>
      <c r="Y491" s="292"/>
      <c r="Z491" s="292"/>
    </row>
    <row r="492" ht="15.75" customHeight="1">
      <c r="A492" s="292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  <c r="V492" s="292"/>
      <c r="W492" s="292"/>
      <c r="X492" s="292"/>
      <c r="Y492" s="292"/>
      <c r="Z492" s="292"/>
    </row>
    <row r="493" ht="15.75" customHeight="1">
      <c r="A493" s="292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2"/>
      <c r="X493" s="292"/>
      <c r="Y493" s="292"/>
      <c r="Z493" s="292"/>
    </row>
    <row r="494" ht="15.75" customHeight="1">
      <c r="A494" s="292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  <c r="V494" s="292"/>
      <c r="W494" s="292"/>
      <c r="X494" s="292"/>
      <c r="Y494" s="292"/>
      <c r="Z494" s="292"/>
    </row>
    <row r="495" ht="15.75" customHeight="1">
      <c r="A495" s="292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  <c r="V495" s="292"/>
      <c r="W495" s="292"/>
      <c r="X495" s="292"/>
      <c r="Y495" s="292"/>
      <c r="Z495" s="292"/>
    </row>
    <row r="496" ht="15.75" customHeight="1">
      <c r="A496" s="292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  <c r="V496" s="292"/>
      <c r="W496" s="292"/>
      <c r="X496" s="292"/>
      <c r="Y496" s="292"/>
      <c r="Z496" s="292"/>
    </row>
    <row r="497" ht="15.75" customHeight="1">
      <c r="A497" s="292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  <c r="V497" s="292"/>
      <c r="W497" s="292"/>
      <c r="X497" s="292"/>
      <c r="Y497" s="292"/>
      <c r="Z497" s="292"/>
    </row>
    <row r="498" ht="15.75" customHeight="1">
      <c r="A498" s="292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  <c r="V498" s="292"/>
      <c r="W498" s="292"/>
      <c r="X498" s="292"/>
      <c r="Y498" s="292"/>
      <c r="Z498" s="292"/>
    </row>
    <row r="499" ht="15.75" customHeight="1">
      <c r="A499" s="292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  <c r="V499" s="292"/>
      <c r="W499" s="292"/>
      <c r="X499" s="292"/>
      <c r="Y499" s="292"/>
      <c r="Z499" s="292"/>
    </row>
    <row r="500" ht="15.75" customHeight="1">
      <c r="A500" s="292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  <c r="V500" s="292"/>
      <c r="W500" s="292"/>
      <c r="X500" s="292"/>
      <c r="Y500" s="292"/>
      <c r="Z500" s="292"/>
    </row>
    <row r="501" ht="15.75" customHeight="1">
      <c r="A501" s="292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  <c r="V501" s="292"/>
      <c r="W501" s="292"/>
      <c r="X501" s="292"/>
      <c r="Y501" s="292"/>
      <c r="Z501" s="292"/>
    </row>
    <row r="502" ht="15.75" customHeight="1">
      <c r="A502" s="292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  <c r="V502" s="292"/>
      <c r="W502" s="292"/>
      <c r="X502" s="292"/>
      <c r="Y502" s="292"/>
      <c r="Z502" s="292"/>
    </row>
    <row r="503" ht="15.75" customHeight="1">
      <c r="A503" s="292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  <c r="V503" s="292"/>
      <c r="W503" s="292"/>
      <c r="X503" s="292"/>
      <c r="Y503" s="292"/>
      <c r="Z503" s="292"/>
    </row>
    <row r="504" ht="15.75" customHeight="1">
      <c r="A504" s="292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  <c r="V504" s="292"/>
      <c r="W504" s="292"/>
      <c r="X504" s="292"/>
      <c r="Y504" s="292"/>
      <c r="Z504" s="292"/>
    </row>
    <row r="505" ht="15.75" customHeight="1">
      <c r="A505" s="292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  <c r="V505" s="292"/>
      <c r="W505" s="292"/>
      <c r="X505" s="292"/>
      <c r="Y505" s="292"/>
      <c r="Z505" s="292"/>
    </row>
    <row r="506" ht="15.75" customHeight="1">
      <c r="A506" s="292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  <c r="V506" s="292"/>
      <c r="W506" s="292"/>
      <c r="X506" s="292"/>
      <c r="Y506" s="292"/>
      <c r="Z506" s="292"/>
    </row>
    <row r="507" ht="15.75" customHeight="1">
      <c r="A507" s="292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  <c r="V507" s="292"/>
      <c r="W507" s="292"/>
      <c r="X507" s="292"/>
      <c r="Y507" s="292"/>
      <c r="Z507" s="292"/>
    </row>
    <row r="508" ht="15.75" customHeight="1">
      <c r="A508" s="292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  <c r="V508" s="292"/>
      <c r="W508" s="292"/>
      <c r="X508" s="292"/>
      <c r="Y508" s="292"/>
      <c r="Z508" s="292"/>
    </row>
    <row r="509" ht="15.75" customHeight="1">
      <c r="A509" s="292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  <c r="V509" s="292"/>
      <c r="W509" s="292"/>
      <c r="X509" s="292"/>
      <c r="Y509" s="292"/>
      <c r="Z509" s="292"/>
    </row>
    <row r="510" ht="15.75" customHeight="1">
      <c r="A510" s="292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  <c r="V510" s="292"/>
      <c r="W510" s="292"/>
      <c r="X510" s="292"/>
      <c r="Y510" s="292"/>
      <c r="Z510" s="292"/>
    </row>
    <row r="511" ht="15.75" customHeight="1">
      <c r="A511" s="292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  <c r="V511" s="292"/>
      <c r="W511" s="292"/>
      <c r="X511" s="292"/>
      <c r="Y511" s="292"/>
      <c r="Z511" s="292"/>
    </row>
    <row r="512" ht="15.75" customHeight="1">
      <c r="A512" s="292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  <c r="V512" s="292"/>
      <c r="W512" s="292"/>
      <c r="X512" s="292"/>
      <c r="Y512" s="292"/>
      <c r="Z512" s="292"/>
    </row>
    <row r="513" ht="15.75" customHeight="1">
      <c r="A513" s="292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  <c r="V513" s="292"/>
      <c r="W513" s="292"/>
      <c r="X513" s="292"/>
      <c r="Y513" s="292"/>
      <c r="Z513" s="292"/>
    </row>
    <row r="514" ht="15.75" customHeight="1">
      <c r="A514" s="292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  <c r="V514" s="292"/>
      <c r="W514" s="292"/>
      <c r="X514" s="292"/>
      <c r="Y514" s="292"/>
      <c r="Z514" s="292"/>
    </row>
    <row r="515" ht="15.75" customHeight="1">
      <c r="A515" s="292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  <c r="V515" s="292"/>
      <c r="W515" s="292"/>
      <c r="X515" s="292"/>
      <c r="Y515" s="292"/>
      <c r="Z515" s="292"/>
    </row>
    <row r="516" ht="15.75" customHeight="1">
      <c r="A516" s="292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  <c r="V516" s="292"/>
      <c r="W516" s="292"/>
      <c r="X516" s="292"/>
      <c r="Y516" s="292"/>
      <c r="Z516" s="292"/>
    </row>
    <row r="517" ht="15.75" customHeight="1">
      <c r="A517" s="292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  <c r="X517" s="292"/>
      <c r="Y517" s="292"/>
      <c r="Z517" s="292"/>
    </row>
    <row r="518" ht="15.75" customHeight="1">
      <c r="A518" s="292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  <c r="X518" s="292"/>
      <c r="Y518" s="292"/>
      <c r="Z518" s="292"/>
    </row>
    <row r="519" ht="15.75" customHeight="1">
      <c r="A519" s="292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  <c r="V519" s="292"/>
      <c r="W519" s="292"/>
      <c r="X519" s="292"/>
      <c r="Y519" s="292"/>
      <c r="Z519" s="292"/>
    </row>
    <row r="520" ht="15.75" customHeight="1">
      <c r="A520" s="292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  <c r="V520" s="292"/>
      <c r="W520" s="292"/>
      <c r="X520" s="292"/>
      <c r="Y520" s="292"/>
      <c r="Z520" s="292"/>
    </row>
    <row r="521" ht="15.75" customHeight="1">
      <c r="A521" s="292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  <c r="V521" s="292"/>
      <c r="W521" s="292"/>
      <c r="X521" s="292"/>
      <c r="Y521" s="292"/>
      <c r="Z521" s="292"/>
    </row>
    <row r="522" ht="15.75" customHeight="1">
      <c r="A522" s="292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  <c r="V522" s="292"/>
      <c r="W522" s="292"/>
      <c r="X522" s="292"/>
      <c r="Y522" s="292"/>
      <c r="Z522" s="292"/>
    </row>
    <row r="523" ht="15.75" customHeight="1">
      <c r="A523" s="292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  <c r="V523" s="292"/>
      <c r="W523" s="292"/>
      <c r="X523" s="292"/>
      <c r="Y523" s="292"/>
      <c r="Z523" s="292"/>
    </row>
    <row r="524" ht="15.75" customHeight="1">
      <c r="A524" s="292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  <c r="V524" s="292"/>
      <c r="W524" s="292"/>
      <c r="X524" s="292"/>
      <c r="Y524" s="292"/>
      <c r="Z524" s="292"/>
    </row>
    <row r="525" ht="15.75" customHeight="1">
      <c r="A525" s="292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  <c r="V525" s="292"/>
      <c r="W525" s="292"/>
      <c r="X525" s="292"/>
      <c r="Y525" s="292"/>
      <c r="Z525" s="292"/>
    </row>
    <row r="526" ht="15.75" customHeight="1">
      <c r="A526" s="292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  <c r="V526" s="292"/>
      <c r="W526" s="292"/>
      <c r="X526" s="292"/>
      <c r="Y526" s="292"/>
      <c r="Z526" s="292"/>
    </row>
    <row r="527" ht="15.75" customHeight="1">
      <c r="A527" s="292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  <c r="V527" s="292"/>
      <c r="W527" s="292"/>
      <c r="X527" s="292"/>
      <c r="Y527" s="292"/>
      <c r="Z527" s="292"/>
    </row>
    <row r="528" ht="15.75" customHeight="1">
      <c r="A528" s="292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  <c r="V528" s="292"/>
      <c r="W528" s="292"/>
      <c r="X528" s="292"/>
      <c r="Y528" s="292"/>
      <c r="Z528" s="292"/>
    </row>
    <row r="529" ht="15.75" customHeight="1">
      <c r="A529" s="292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  <c r="V529" s="292"/>
      <c r="W529" s="292"/>
      <c r="X529" s="292"/>
      <c r="Y529" s="292"/>
      <c r="Z529" s="292"/>
    </row>
    <row r="530" ht="15.75" customHeight="1">
      <c r="A530" s="292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  <c r="V530" s="292"/>
      <c r="W530" s="292"/>
      <c r="X530" s="292"/>
      <c r="Y530" s="292"/>
      <c r="Z530" s="292"/>
    </row>
    <row r="531" ht="15.75" customHeight="1">
      <c r="A531" s="292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  <c r="V531" s="292"/>
      <c r="W531" s="292"/>
      <c r="X531" s="292"/>
      <c r="Y531" s="292"/>
      <c r="Z531" s="292"/>
    </row>
    <row r="532" ht="15.75" customHeight="1">
      <c r="A532" s="292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  <c r="V532" s="292"/>
      <c r="W532" s="292"/>
      <c r="X532" s="292"/>
      <c r="Y532" s="292"/>
      <c r="Z532" s="292"/>
    </row>
    <row r="533" ht="15.75" customHeight="1">
      <c r="A533" s="292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  <c r="X533" s="292"/>
      <c r="Y533" s="292"/>
      <c r="Z533" s="292"/>
    </row>
    <row r="534" ht="15.75" customHeight="1">
      <c r="A534" s="292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  <c r="X534" s="292"/>
      <c r="Y534" s="292"/>
      <c r="Z534" s="292"/>
    </row>
    <row r="535" ht="15.75" customHeight="1">
      <c r="A535" s="292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  <c r="V535" s="292"/>
      <c r="W535" s="292"/>
      <c r="X535" s="292"/>
      <c r="Y535" s="292"/>
      <c r="Z535" s="292"/>
    </row>
    <row r="536" ht="15.75" customHeight="1">
      <c r="A536" s="292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  <c r="V536" s="292"/>
      <c r="W536" s="292"/>
      <c r="X536" s="292"/>
      <c r="Y536" s="292"/>
      <c r="Z536" s="292"/>
    </row>
    <row r="537" ht="15.75" customHeight="1">
      <c r="A537" s="292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  <c r="V537" s="292"/>
      <c r="W537" s="292"/>
      <c r="X537" s="292"/>
      <c r="Y537" s="292"/>
      <c r="Z537" s="292"/>
    </row>
    <row r="538" ht="15.75" customHeight="1">
      <c r="A538" s="292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  <c r="V538" s="292"/>
      <c r="W538" s="292"/>
      <c r="X538" s="292"/>
      <c r="Y538" s="292"/>
      <c r="Z538" s="292"/>
    </row>
    <row r="539" ht="15.75" customHeight="1">
      <c r="A539" s="292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  <c r="V539" s="292"/>
      <c r="W539" s="292"/>
      <c r="X539" s="292"/>
      <c r="Y539" s="292"/>
      <c r="Z539" s="292"/>
    </row>
    <row r="540" ht="15.75" customHeight="1">
      <c r="A540" s="292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  <c r="V540" s="292"/>
      <c r="W540" s="292"/>
      <c r="X540" s="292"/>
      <c r="Y540" s="292"/>
      <c r="Z540" s="292"/>
    </row>
    <row r="541" ht="15.75" customHeight="1">
      <c r="A541" s="292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  <c r="V541" s="292"/>
      <c r="W541" s="292"/>
      <c r="X541" s="292"/>
      <c r="Y541" s="292"/>
      <c r="Z541" s="292"/>
    </row>
    <row r="542" ht="15.75" customHeight="1">
      <c r="A542" s="292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  <c r="V542" s="292"/>
      <c r="W542" s="292"/>
      <c r="X542" s="292"/>
      <c r="Y542" s="292"/>
      <c r="Z542" s="292"/>
    </row>
    <row r="543" ht="15.75" customHeight="1">
      <c r="A543" s="292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  <c r="X543" s="292"/>
      <c r="Y543" s="292"/>
      <c r="Z543" s="292"/>
    </row>
    <row r="544" ht="15.75" customHeight="1">
      <c r="A544" s="292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  <c r="X544" s="292"/>
      <c r="Y544" s="292"/>
      <c r="Z544" s="292"/>
    </row>
    <row r="545" ht="15.75" customHeight="1">
      <c r="A545" s="292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  <c r="V545" s="292"/>
      <c r="W545" s="292"/>
      <c r="X545" s="292"/>
      <c r="Y545" s="292"/>
      <c r="Z545" s="292"/>
    </row>
    <row r="546" ht="15.75" customHeight="1">
      <c r="A546" s="292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  <c r="V546" s="292"/>
      <c r="W546" s="292"/>
      <c r="X546" s="292"/>
      <c r="Y546" s="292"/>
      <c r="Z546" s="292"/>
    </row>
    <row r="547" ht="15.75" customHeight="1">
      <c r="A547" s="292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  <c r="V547" s="292"/>
      <c r="W547" s="292"/>
      <c r="X547" s="292"/>
      <c r="Y547" s="292"/>
      <c r="Z547" s="292"/>
    </row>
    <row r="548" ht="15.75" customHeight="1">
      <c r="A548" s="292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  <c r="V548" s="292"/>
      <c r="W548" s="292"/>
      <c r="X548" s="292"/>
      <c r="Y548" s="292"/>
      <c r="Z548" s="292"/>
    </row>
    <row r="549" ht="15.75" customHeight="1">
      <c r="A549" s="292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  <c r="V549" s="292"/>
      <c r="W549" s="292"/>
      <c r="X549" s="292"/>
      <c r="Y549" s="292"/>
      <c r="Z549" s="292"/>
    </row>
    <row r="550" ht="15.75" customHeight="1">
      <c r="A550" s="292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  <c r="V550" s="292"/>
      <c r="W550" s="292"/>
      <c r="X550" s="292"/>
      <c r="Y550" s="292"/>
      <c r="Z550" s="292"/>
    </row>
    <row r="551" ht="15.75" customHeight="1">
      <c r="A551" s="292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  <c r="V551" s="292"/>
      <c r="W551" s="292"/>
      <c r="X551" s="292"/>
      <c r="Y551" s="292"/>
      <c r="Z551" s="292"/>
    </row>
    <row r="552" ht="15.75" customHeight="1">
      <c r="A552" s="292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  <c r="V552" s="292"/>
      <c r="W552" s="292"/>
      <c r="X552" s="292"/>
      <c r="Y552" s="292"/>
      <c r="Z552" s="292"/>
    </row>
    <row r="553" ht="15.75" customHeight="1">
      <c r="A553" s="292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  <c r="V553" s="292"/>
      <c r="W553" s="292"/>
      <c r="X553" s="292"/>
      <c r="Y553" s="292"/>
      <c r="Z553" s="292"/>
    </row>
    <row r="554" ht="15.75" customHeight="1">
      <c r="A554" s="292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  <c r="V554" s="292"/>
      <c r="W554" s="292"/>
      <c r="X554" s="292"/>
      <c r="Y554" s="292"/>
      <c r="Z554" s="292"/>
    </row>
    <row r="555" ht="15.75" customHeight="1">
      <c r="A555" s="292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  <c r="V555" s="292"/>
      <c r="W555" s="292"/>
      <c r="X555" s="292"/>
      <c r="Y555" s="292"/>
      <c r="Z555" s="292"/>
    </row>
    <row r="556" ht="15.75" customHeight="1">
      <c r="A556" s="292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  <c r="V556" s="292"/>
      <c r="W556" s="292"/>
      <c r="X556" s="292"/>
      <c r="Y556" s="292"/>
      <c r="Z556" s="292"/>
    </row>
    <row r="557" ht="15.75" customHeight="1">
      <c r="A557" s="292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  <c r="V557" s="292"/>
      <c r="W557" s="292"/>
      <c r="X557" s="292"/>
      <c r="Y557" s="292"/>
      <c r="Z557" s="292"/>
    </row>
    <row r="558" ht="15.75" customHeight="1">
      <c r="A558" s="292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  <c r="V558" s="292"/>
      <c r="W558" s="292"/>
      <c r="X558" s="292"/>
      <c r="Y558" s="292"/>
      <c r="Z558" s="292"/>
    </row>
    <row r="559" ht="15.75" customHeight="1">
      <c r="A559" s="292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  <c r="X559" s="292"/>
      <c r="Y559" s="292"/>
      <c r="Z559" s="292"/>
    </row>
    <row r="560" ht="15.75" customHeight="1">
      <c r="A560" s="292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  <c r="V560" s="292"/>
      <c r="W560" s="292"/>
      <c r="X560" s="292"/>
      <c r="Y560" s="292"/>
      <c r="Z560" s="292"/>
    </row>
    <row r="561" ht="15.75" customHeight="1">
      <c r="A561" s="292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  <c r="X561" s="292"/>
      <c r="Y561" s="292"/>
      <c r="Z561" s="292"/>
    </row>
    <row r="562" ht="15.75" customHeight="1">
      <c r="A562" s="292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  <c r="X562" s="292"/>
      <c r="Y562" s="292"/>
      <c r="Z562" s="292"/>
    </row>
    <row r="563" ht="15.75" customHeight="1">
      <c r="A563" s="292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  <c r="V563" s="292"/>
      <c r="W563" s="292"/>
      <c r="X563" s="292"/>
      <c r="Y563" s="292"/>
      <c r="Z563" s="292"/>
    </row>
    <row r="564" ht="15.75" customHeight="1">
      <c r="A564" s="292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  <c r="V564" s="292"/>
      <c r="W564" s="292"/>
      <c r="X564" s="292"/>
      <c r="Y564" s="292"/>
      <c r="Z564" s="292"/>
    </row>
    <row r="565" ht="15.75" customHeight="1">
      <c r="A565" s="292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  <c r="V565" s="292"/>
      <c r="W565" s="292"/>
      <c r="X565" s="292"/>
      <c r="Y565" s="292"/>
      <c r="Z565" s="292"/>
    </row>
    <row r="566" ht="15.75" customHeight="1">
      <c r="A566" s="292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  <c r="V566" s="292"/>
      <c r="W566" s="292"/>
      <c r="X566" s="292"/>
      <c r="Y566" s="292"/>
      <c r="Z566" s="292"/>
    </row>
    <row r="567" ht="15.75" customHeight="1">
      <c r="A567" s="292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  <c r="V567" s="292"/>
      <c r="W567" s="292"/>
      <c r="X567" s="292"/>
      <c r="Y567" s="292"/>
      <c r="Z567" s="292"/>
    </row>
    <row r="568" ht="15.75" customHeight="1">
      <c r="A568" s="292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  <c r="V568" s="292"/>
      <c r="W568" s="292"/>
      <c r="X568" s="292"/>
      <c r="Y568" s="292"/>
      <c r="Z568" s="292"/>
    </row>
    <row r="569" ht="15.75" customHeight="1">
      <c r="A569" s="292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  <c r="V569" s="292"/>
      <c r="W569" s="292"/>
      <c r="X569" s="292"/>
      <c r="Y569" s="292"/>
      <c r="Z569" s="292"/>
    </row>
    <row r="570" ht="15.75" customHeight="1">
      <c r="A570" s="292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  <c r="X570" s="292"/>
      <c r="Y570" s="292"/>
      <c r="Z570" s="292"/>
    </row>
    <row r="571" ht="15.75" customHeight="1">
      <c r="A571" s="292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  <c r="X571" s="292"/>
      <c r="Y571" s="292"/>
      <c r="Z571" s="292"/>
    </row>
    <row r="572" ht="15.75" customHeight="1">
      <c r="A572" s="292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  <c r="V572" s="292"/>
      <c r="W572" s="292"/>
      <c r="X572" s="292"/>
      <c r="Y572" s="292"/>
      <c r="Z572" s="292"/>
    </row>
    <row r="573" ht="15.75" customHeight="1">
      <c r="A573" s="292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  <c r="V573" s="292"/>
      <c r="W573" s="292"/>
      <c r="X573" s="292"/>
      <c r="Y573" s="292"/>
      <c r="Z573" s="292"/>
    </row>
    <row r="574" ht="15.75" customHeight="1">
      <c r="A574" s="292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  <c r="V574" s="292"/>
      <c r="W574" s="292"/>
      <c r="X574" s="292"/>
      <c r="Y574" s="292"/>
      <c r="Z574" s="292"/>
    </row>
    <row r="575" ht="15.75" customHeight="1">
      <c r="A575" s="292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  <c r="V575" s="292"/>
      <c r="W575" s="292"/>
      <c r="X575" s="292"/>
      <c r="Y575" s="292"/>
      <c r="Z575" s="292"/>
    </row>
    <row r="576" ht="15.75" customHeight="1">
      <c r="A576" s="292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  <c r="V576" s="292"/>
      <c r="W576" s="292"/>
      <c r="X576" s="292"/>
      <c r="Y576" s="292"/>
      <c r="Z576" s="292"/>
    </row>
    <row r="577" ht="15.75" customHeight="1">
      <c r="A577" s="292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  <c r="V577" s="292"/>
      <c r="W577" s="292"/>
      <c r="X577" s="292"/>
      <c r="Y577" s="292"/>
      <c r="Z577" s="292"/>
    </row>
    <row r="578" ht="15.75" customHeight="1">
      <c r="A578" s="292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  <c r="V578" s="292"/>
      <c r="W578" s="292"/>
      <c r="X578" s="292"/>
      <c r="Y578" s="292"/>
      <c r="Z578" s="292"/>
    </row>
    <row r="579" ht="15.75" customHeight="1">
      <c r="A579" s="292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  <c r="V579" s="292"/>
      <c r="W579" s="292"/>
      <c r="X579" s="292"/>
      <c r="Y579" s="292"/>
      <c r="Z579" s="292"/>
    </row>
    <row r="580" ht="15.75" customHeight="1">
      <c r="A580" s="292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  <c r="V580" s="292"/>
      <c r="W580" s="292"/>
      <c r="X580" s="292"/>
      <c r="Y580" s="292"/>
      <c r="Z580" s="292"/>
    </row>
    <row r="581" ht="15.75" customHeight="1">
      <c r="A581" s="292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  <c r="V581" s="292"/>
      <c r="W581" s="292"/>
      <c r="X581" s="292"/>
      <c r="Y581" s="292"/>
      <c r="Z581" s="292"/>
    </row>
    <row r="582" ht="15.75" customHeight="1">
      <c r="A582" s="292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  <c r="V582" s="292"/>
      <c r="W582" s="292"/>
      <c r="X582" s="292"/>
      <c r="Y582" s="292"/>
      <c r="Z582" s="292"/>
    </row>
    <row r="583" ht="15.75" customHeight="1">
      <c r="A583" s="292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  <c r="V583" s="292"/>
      <c r="W583" s="292"/>
      <c r="X583" s="292"/>
      <c r="Y583" s="292"/>
      <c r="Z583" s="292"/>
    </row>
    <row r="584" ht="15.75" customHeight="1">
      <c r="A584" s="292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  <c r="V584" s="292"/>
      <c r="W584" s="292"/>
      <c r="X584" s="292"/>
      <c r="Y584" s="292"/>
      <c r="Z584" s="292"/>
    </row>
    <row r="585" ht="15.75" customHeight="1">
      <c r="A585" s="292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  <c r="V585" s="292"/>
      <c r="W585" s="292"/>
      <c r="X585" s="292"/>
      <c r="Y585" s="292"/>
      <c r="Z585" s="292"/>
    </row>
    <row r="586" ht="15.75" customHeight="1">
      <c r="A586" s="292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  <c r="V586" s="292"/>
      <c r="W586" s="292"/>
      <c r="X586" s="292"/>
      <c r="Y586" s="292"/>
      <c r="Z586" s="292"/>
    </row>
    <row r="587" ht="15.75" customHeight="1">
      <c r="A587" s="292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  <c r="V587" s="292"/>
      <c r="W587" s="292"/>
      <c r="X587" s="292"/>
      <c r="Y587" s="292"/>
      <c r="Z587" s="292"/>
    </row>
    <row r="588" ht="15.75" customHeight="1">
      <c r="A588" s="292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  <c r="V588" s="292"/>
      <c r="W588" s="292"/>
      <c r="X588" s="292"/>
      <c r="Y588" s="292"/>
      <c r="Z588" s="292"/>
    </row>
    <row r="589" ht="15.75" customHeight="1">
      <c r="A589" s="292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  <c r="V589" s="292"/>
      <c r="W589" s="292"/>
      <c r="X589" s="292"/>
      <c r="Y589" s="292"/>
      <c r="Z589" s="292"/>
    </row>
    <row r="590" ht="15.75" customHeight="1">
      <c r="A590" s="292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  <c r="V590" s="292"/>
      <c r="W590" s="292"/>
      <c r="X590" s="292"/>
      <c r="Y590" s="292"/>
      <c r="Z590" s="292"/>
    </row>
    <row r="591" ht="15.75" customHeight="1">
      <c r="A591" s="292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  <c r="V591" s="292"/>
      <c r="W591" s="292"/>
      <c r="X591" s="292"/>
      <c r="Y591" s="292"/>
      <c r="Z591" s="292"/>
    </row>
    <row r="592" ht="15.75" customHeight="1">
      <c r="A592" s="292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  <c r="V592" s="292"/>
      <c r="W592" s="292"/>
      <c r="X592" s="292"/>
      <c r="Y592" s="292"/>
      <c r="Z592" s="292"/>
    </row>
    <row r="593" ht="15.75" customHeight="1">
      <c r="A593" s="292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  <c r="V593" s="292"/>
      <c r="W593" s="292"/>
      <c r="X593" s="292"/>
      <c r="Y593" s="292"/>
      <c r="Z593" s="292"/>
    </row>
    <row r="594" ht="15.75" customHeight="1">
      <c r="A594" s="292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  <c r="V594" s="292"/>
      <c r="W594" s="292"/>
      <c r="X594" s="292"/>
      <c r="Y594" s="292"/>
      <c r="Z594" s="292"/>
    </row>
    <row r="595" ht="15.75" customHeight="1">
      <c r="A595" s="292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  <c r="X595" s="292"/>
      <c r="Y595" s="292"/>
      <c r="Z595" s="292"/>
    </row>
    <row r="596" ht="15.75" customHeight="1">
      <c r="A596" s="292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  <c r="X596" s="292"/>
      <c r="Y596" s="292"/>
      <c r="Z596" s="292"/>
    </row>
    <row r="597" ht="15.75" customHeight="1">
      <c r="A597" s="292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  <c r="V597" s="292"/>
      <c r="W597" s="292"/>
      <c r="X597" s="292"/>
      <c r="Y597" s="292"/>
      <c r="Z597" s="292"/>
    </row>
    <row r="598" ht="15.75" customHeight="1">
      <c r="A598" s="292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  <c r="V598" s="292"/>
      <c r="W598" s="292"/>
      <c r="X598" s="292"/>
      <c r="Y598" s="292"/>
      <c r="Z598" s="292"/>
    </row>
    <row r="599" ht="15.75" customHeight="1">
      <c r="A599" s="292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  <c r="V599" s="292"/>
      <c r="W599" s="292"/>
      <c r="X599" s="292"/>
      <c r="Y599" s="292"/>
      <c r="Z599" s="292"/>
    </row>
    <row r="600" ht="15.75" customHeight="1">
      <c r="A600" s="292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  <c r="V600" s="292"/>
      <c r="W600" s="292"/>
      <c r="X600" s="292"/>
      <c r="Y600" s="292"/>
      <c r="Z600" s="292"/>
    </row>
    <row r="601" ht="15.75" customHeight="1">
      <c r="A601" s="292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  <c r="V601" s="292"/>
      <c r="W601" s="292"/>
      <c r="X601" s="292"/>
      <c r="Y601" s="292"/>
      <c r="Z601" s="292"/>
    </row>
    <row r="602" ht="15.75" customHeight="1">
      <c r="A602" s="292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  <c r="V602" s="292"/>
      <c r="W602" s="292"/>
      <c r="X602" s="292"/>
      <c r="Y602" s="292"/>
      <c r="Z602" s="292"/>
    </row>
    <row r="603" ht="15.75" customHeight="1">
      <c r="A603" s="292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  <c r="V603" s="292"/>
      <c r="W603" s="292"/>
      <c r="X603" s="292"/>
      <c r="Y603" s="292"/>
      <c r="Z603" s="292"/>
    </row>
    <row r="604" ht="15.75" customHeight="1">
      <c r="A604" s="292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  <c r="V604" s="292"/>
      <c r="W604" s="292"/>
      <c r="X604" s="292"/>
      <c r="Y604" s="292"/>
      <c r="Z604" s="292"/>
    </row>
    <row r="605" ht="15.75" customHeight="1">
      <c r="A605" s="292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  <c r="X605" s="292"/>
      <c r="Y605" s="292"/>
      <c r="Z605" s="292"/>
    </row>
    <row r="606" ht="15.75" customHeight="1">
      <c r="A606" s="292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  <c r="X606" s="292"/>
      <c r="Y606" s="292"/>
      <c r="Z606" s="292"/>
    </row>
    <row r="607" ht="15.75" customHeight="1">
      <c r="A607" s="292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  <c r="V607" s="292"/>
      <c r="W607" s="292"/>
      <c r="X607" s="292"/>
      <c r="Y607" s="292"/>
      <c r="Z607" s="292"/>
    </row>
    <row r="608" ht="15.75" customHeight="1">
      <c r="A608" s="292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  <c r="V608" s="292"/>
      <c r="W608" s="292"/>
      <c r="X608" s="292"/>
      <c r="Y608" s="292"/>
      <c r="Z608" s="292"/>
    </row>
    <row r="609" ht="15.75" customHeight="1">
      <c r="A609" s="292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  <c r="V609" s="292"/>
      <c r="W609" s="292"/>
      <c r="X609" s="292"/>
      <c r="Y609" s="292"/>
      <c r="Z609" s="292"/>
    </row>
    <row r="610" ht="15.75" customHeight="1">
      <c r="A610" s="292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  <c r="V610" s="292"/>
      <c r="W610" s="292"/>
      <c r="X610" s="292"/>
      <c r="Y610" s="292"/>
      <c r="Z610" s="292"/>
    </row>
    <row r="611" ht="15.75" customHeight="1">
      <c r="A611" s="292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  <c r="V611" s="292"/>
      <c r="W611" s="292"/>
      <c r="X611" s="292"/>
      <c r="Y611" s="292"/>
      <c r="Z611" s="292"/>
    </row>
    <row r="612" ht="15.75" customHeight="1">
      <c r="A612" s="292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  <c r="V612" s="292"/>
      <c r="W612" s="292"/>
      <c r="X612" s="292"/>
      <c r="Y612" s="292"/>
      <c r="Z612" s="292"/>
    </row>
    <row r="613" ht="15.75" customHeight="1">
      <c r="A613" s="292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  <c r="V613" s="292"/>
      <c r="W613" s="292"/>
      <c r="X613" s="292"/>
      <c r="Y613" s="292"/>
      <c r="Z613" s="292"/>
    </row>
    <row r="614" ht="15.75" customHeight="1">
      <c r="A614" s="292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  <c r="V614" s="292"/>
      <c r="W614" s="292"/>
      <c r="X614" s="292"/>
      <c r="Y614" s="292"/>
      <c r="Z614" s="292"/>
    </row>
    <row r="615" ht="15.75" customHeight="1">
      <c r="A615" s="292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  <c r="X615" s="292"/>
      <c r="Y615" s="292"/>
      <c r="Z615" s="292"/>
    </row>
    <row r="616" ht="15.75" customHeight="1">
      <c r="A616" s="292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  <c r="X616" s="292"/>
      <c r="Y616" s="292"/>
      <c r="Z616" s="292"/>
    </row>
    <row r="617" ht="15.75" customHeight="1">
      <c r="A617" s="292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  <c r="V617" s="292"/>
      <c r="W617" s="292"/>
      <c r="X617" s="292"/>
      <c r="Y617" s="292"/>
      <c r="Z617" s="292"/>
    </row>
    <row r="618" ht="15.75" customHeight="1">
      <c r="A618" s="292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  <c r="V618" s="292"/>
      <c r="W618" s="292"/>
      <c r="X618" s="292"/>
      <c r="Y618" s="292"/>
      <c r="Z618" s="292"/>
    </row>
    <row r="619" ht="15.75" customHeight="1">
      <c r="A619" s="292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  <c r="V619" s="292"/>
      <c r="W619" s="292"/>
      <c r="X619" s="292"/>
      <c r="Y619" s="292"/>
      <c r="Z619" s="292"/>
    </row>
    <row r="620" ht="15.75" customHeight="1">
      <c r="A620" s="292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  <c r="V620" s="292"/>
      <c r="W620" s="292"/>
      <c r="X620" s="292"/>
      <c r="Y620" s="292"/>
      <c r="Z620" s="292"/>
    </row>
    <row r="621" ht="15.75" customHeight="1">
      <c r="A621" s="292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  <c r="V621" s="292"/>
      <c r="W621" s="292"/>
      <c r="X621" s="292"/>
      <c r="Y621" s="292"/>
      <c r="Z621" s="292"/>
    </row>
    <row r="622" ht="15.75" customHeight="1">
      <c r="A622" s="292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  <c r="V622" s="292"/>
      <c r="W622" s="292"/>
      <c r="X622" s="292"/>
      <c r="Y622" s="292"/>
      <c r="Z622" s="292"/>
    </row>
    <row r="623" ht="15.75" customHeight="1">
      <c r="A623" s="292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  <c r="V623" s="292"/>
      <c r="W623" s="292"/>
      <c r="X623" s="292"/>
      <c r="Y623" s="292"/>
      <c r="Z623" s="292"/>
    </row>
    <row r="624" ht="15.75" customHeight="1">
      <c r="A624" s="292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  <c r="V624" s="292"/>
      <c r="W624" s="292"/>
      <c r="X624" s="292"/>
      <c r="Y624" s="292"/>
      <c r="Z624" s="292"/>
    </row>
    <row r="625" ht="15.75" customHeight="1">
      <c r="A625" s="292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  <c r="V625" s="292"/>
      <c r="W625" s="292"/>
      <c r="X625" s="292"/>
      <c r="Y625" s="292"/>
      <c r="Z625" s="292"/>
    </row>
    <row r="626" ht="15.75" customHeight="1">
      <c r="A626" s="292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  <c r="V626" s="292"/>
      <c r="W626" s="292"/>
      <c r="X626" s="292"/>
      <c r="Y626" s="292"/>
      <c r="Z626" s="292"/>
    </row>
    <row r="627" ht="15.75" customHeight="1">
      <c r="A627" s="292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  <c r="V627" s="292"/>
      <c r="W627" s="292"/>
      <c r="X627" s="292"/>
      <c r="Y627" s="292"/>
      <c r="Z627" s="292"/>
    </row>
    <row r="628" ht="15.75" customHeight="1">
      <c r="A628" s="292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  <c r="V628" s="292"/>
      <c r="W628" s="292"/>
      <c r="X628" s="292"/>
      <c r="Y628" s="292"/>
      <c r="Z628" s="292"/>
    </row>
    <row r="629" ht="15.75" customHeight="1">
      <c r="A629" s="292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  <c r="V629" s="292"/>
      <c r="W629" s="292"/>
      <c r="X629" s="292"/>
      <c r="Y629" s="292"/>
      <c r="Z629" s="292"/>
    </row>
    <row r="630" ht="15.75" customHeight="1">
      <c r="A630" s="292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  <c r="V630" s="292"/>
      <c r="W630" s="292"/>
      <c r="X630" s="292"/>
      <c r="Y630" s="292"/>
      <c r="Z630" s="292"/>
    </row>
    <row r="631" ht="15.75" customHeight="1">
      <c r="A631" s="292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  <c r="V631" s="292"/>
      <c r="W631" s="292"/>
      <c r="X631" s="292"/>
      <c r="Y631" s="292"/>
      <c r="Z631" s="292"/>
    </row>
    <row r="632" ht="15.75" customHeight="1">
      <c r="A632" s="292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  <c r="V632" s="292"/>
      <c r="W632" s="292"/>
      <c r="X632" s="292"/>
      <c r="Y632" s="292"/>
      <c r="Z632" s="292"/>
    </row>
    <row r="633" ht="15.75" customHeight="1">
      <c r="A633" s="292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  <c r="V633" s="292"/>
      <c r="W633" s="292"/>
      <c r="X633" s="292"/>
      <c r="Y633" s="292"/>
      <c r="Z633" s="292"/>
    </row>
    <row r="634" ht="15.75" customHeight="1">
      <c r="A634" s="292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  <c r="V634" s="292"/>
      <c r="W634" s="292"/>
      <c r="X634" s="292"/>
      <c r="Y634" s="292"/>
      <c r="Z634" s="292"/>
    </row>
    <row r="635" ht="15.75" customHeight="1">
      <c r="A635" s="292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  <c r="V635" s="292"/>
      <c r="W635" s="292"/>
      <c r="X635" s="292"/>
      <c r="Y635" s="292"/>
      <c r="Z635" s="292"/>
    </row>
    <row r="636" ht="15.75" customHeight="1">
      <c r="A636" s="292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  <c r="V636" s="292"/>
      <c r="W636" s="292"/>
      <c r="X636" s="292"/>
      <c r="Y636" s="292"/>
      <c r="Z636" s="292"/>
    </row>
    <row r="637" ht="15.75" customHeight="1">
      <c r="A637" s="292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  <c r="V637" s="292"/>
      <c r="W637" s="292"/>
      <c r="X637" s="292"/>
      <c r="Y637" s="292"/>
      <c r="Z637" s="292"/>
    </row>
    <row r="638" ht="15.75" customHeight="1">
      <c r="A638" s="292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  <c r="V638" s="292"/>
      <c r="W638" s="292"/>
      <c r="X638" s="292"/>
      <c r="Y638" s="292"/>
      <c r="Z638" s="292"/>
    </row>
    <row r="639" ht="15.75" customHeight="1">
      <c r="A639" s="292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  <c r="V639" s="292"/>
      <c r="W639" s="292"/>
      <c r="X639" s="292"/>
      <c r="Y639" s="292"/>
      <c r="Z639" s="292"/>
    </row>
    <row r="640" ht="15.75" customHeight="1">
      <c r="A640" s="292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  <c r="V640" s="292"/>
      <c r="W640" s="292"/>
      <c r="X640" s="292"/>
      <c r="Y640" s="292"/>
      <c r="Z640" s="292"/>
    </row>
    <row r="641" ht="15.75" customHeight="1">
      <c r="A641" s="292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  <c r="V641" s="292"/>
      <c r="W641" s="292"/>
      <c r="X641" s="292"/>
      <c r="Y641" s="292"/>
      <c r="Z641" s="292"/>
    </row>
    <row r="642" ht="15.75" customHeight="1">
      <c r="A642" s="292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  <c r="V642" s="292"/>
      <c r="W642" s="292"/>
      <c r="X642" s="292"/>
      <c r="Y642" s="292"/>
      <c r="Z642" s="292"/>
    </row>
    <row r="643" ht="15.75" customHeight="1">
      <c r="A643" s="292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  <c r="V643" s="292"/>
      <c r="W643" s="292"/>
      <c r="X643" s="292"/>
      <c r="Y643" s="292"/>
      <c r="Z643" s="292"/>
    </row>
    <row r="644" ht="15.75" customHeight="1">
      <c r="A644" s="292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  <c r="V644" s="292"/>
      <c r="W644" s="292"/>
      <c r="X644" s="292"/>
      <c r="Y644" s="292"/>
      <c r="Z644" s="292"/>
    </row>
    <row r="645" ht="15.75" customHeight="1">
      <c r="A645" s="292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  <c r="V645" s="292"/>
      <c r="W645" s="292"/>
      <c r="X645" s="292"/>
      <c r="Y645" s="292"/>
      <c r="Z645" s="292"/>
    </row>
    <row r="646" ht="15.75" customHeight="1">
      <c r="A646" s="292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  <c r="V646" s="292"/>
      <c r="W646" s="292"/>
      <c r="X646" s="292"/>
      <c r="Y646" s="292"/>
      <c r="Z646" s="292"/>
    </row>
    <row r="647" ht="15.75" customHeight="1">
      <c r="A647" s="292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  <c r="V647" s="292"/>
      <c r="W647" s="292"/>
      <c r="X647" s="292"/>
      <c r="Y647" s="292"/>
      <c r="Z647" s="292"/>
    </row>
    <row r="648" ht="15.75" customHeight="1">
      <c r="A648" s="292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  <c r="V648" s="292"/>
      <c r="W648" s="292"/>
      <c r="X648" s="292"/>
      <c r="Y648" s="292"/>
      <c r="Z648" s="292"/>
    </row>
    <row r="649" ht="15.75" customHeight="1">
      <c r="A649" s="292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  <c r="X649" s="292"/>
      <c r="Y649" s="292"/>
      <c r="Z649" s="292"/>
    </row>
    <row r="650" ht="15.75" customHeight="1">
      <c r="A650" s="292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  <c r="X650" s="292"/>
      <c r="Y650" s="292"/>
      <c r="Z650" s="292"/>
    </row>
    <row r="651" ht="15.75" customHeight="1">
      <c r="A651" s="292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  <c r="V651" s="292"/>
      <c r="W651" s="292"/>
      <c r="X651" s="292"/>
      <c r="Y651" s="292"/>
      <c r="Z651" s="292"/>
    </row>
    <row r="652" ht="15.75" customHeight="1">
      <c r="A652" s="292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  <c r="V652" s="292"/>
      <c r="W652" s="292"/>
      <c r="X652" s="292"/>
      <c r="Y652" s="292"/>
      <c r="Z652" s="292"/>
    </row>
    <row r="653" ht="15.75" customHeight="1">
      <c r="A653" s="292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  <c r="V653" s="292"/>
      <c r="W653" s="292"/>
      <c r="X653" s="292"/>
      <c r="Y653" s="292"/>
      <c r="Z653" s="292"/>
    </row>
    <row r="654" ht="15.75" customHeight="1">
      <c r="A654" s="292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  <c r="V654" s="292"/>
      <c r="W654" s="292"/>
      <c r="X654" s="292"/>
      <c r="Y654" s="292"/>
      <c r="Z654" s="292"/>
    </row>
    <row r="655" ht="15.75" customHeight="1">
      <c r="A655" s="292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  <c r="V655" s="292"/>
      <c r="W655" s="292"/>
      <c r="X655" s="292"/>
      <c r="Y655" s="292"/>
      <c r="Z655" s="292"/>
    </row>
    <row r="656" ht="15.75" customHeight="1">
      <c r="A656" s="292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  <c r="V656" s="292"/>
      <c r="W656" s="292"/>
      <c r="X656" s="292"/>
      <c r="Y656" s="292"/>
      <c r="Z656" s="292"/>
    </row>
    <row r="657" ht="15.75" customHeight="1">
      <c r="A657" s="292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  <c r="X657" s="292"/>
      <c r="Y657" s="292"/>
      <c r="Z657" s="292"/>
    </row>
    <row r="658" ht="15.75" customHeight="1">
      <c r="A658" s="292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  <c r="X658" s="292"/>
      <c r="Y658" s="292"/>
      <c r="Z658" s="292"/>
    </row>
    <row r="659" ht="15.75" customHeight="1">
      <c r="A659" s="292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  <c r="V659" s="292"/>
      <c r="W659" s="292"/>
      <c r="X659" s="292"/>
      <c r="Y659" s="292"/>
      <c r="Z659" s="292"/>
    </row>
    <row r="660" ht="15.75" customHeight="1">
      <c r="A660" s="292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  <c r="V660" s="292"/>
      <c r="W660" s="292"/>
      <c r="X660" s="292"/>
      <c r="Y660" s="292"/>
      <c r="Z660" s="292"/>
    </row>
    <row r="661" ht="15.75" customHeight="1">
      <c r="A661" s="292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  <c r="V661" s="292"/>
      <c r="W661" s="292"/>
      <c r="X661" s="292"/>
      <c r="Y661" s="292"/>
      <c r="Z661" s="292"/>
    </row>
    <row r="662" ht="15.75" customHeight="1">
      <c r="A662" s="292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  <c r="V662" s="292"/>
      <c r="W662" s="292"/>
      <c r="X662" s="292"/>
      <c r="Y662" s="292"/>
      <c r="Z662" s="292"/>
    </row>
    <row r="663" ht="15.75" customHeight="1">
      <c r="A663" s="292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  <c r="V663" s="292"/>
      <c r="W663" s="292"/>
      <c r="X663" s="292"/>
      <c r="Y663" s="292"/>
      <c r="Z663" s="292"/>
    </row>
    <row r="664" ht="15.75" customHeight="1">
      <c r="A664" s="292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  <c r="V664" s="292"/>
      <c r="W664" s="292"/>
      <c r="X664" s="292"/>
      <c r="Y664" s="292"/>
      <c r="Z664" s="292"/>
    </row>
    <row r="665" ht="15.75" customHeight="1">
      <c r="A665" s="292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  <c r="V665" s="292"/>
      <c r="W665" s="292"/>
      <c r="X665" s="292"/>
      <c r="Y665" s="292"/>
      <c r="Z665" s="292"/>
    </row>
    <row r="666" ht="15.75" customHeight="1">
      <c r="A666" s="292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  <c r="V666" s="292"/>
      <c r="W666" s="292"/>
      <c r="X666" s="292"/>
      <c r="Y666" s="292"/>
      <c r="Z666" s="292"/>
    </row>
    <row r="667" ht="15.75" customHeight="1">
      <c r="A667" s="292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  <c r="V667" s="292"/>
      <c r="W667" s="292"/>
      <c r="X667" s="292"/>
      <c r="Y667" s="292"/>
      <c r="Z667" s="292"/>
    </row>
    <row r="668" ht="15.75" customHeight="1">
      <c r="A668" s="292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  <c r="V668" s="292"/>
      <c r="W668" s="292"/>
      <c r="X668" s="292"/>
      <c r="Y668" s="292"/>
      <c r="Z668" s="292"/>
    </row>
    <row r="669" ht="15.75" customHeight="1">
      <c r="A669" s="292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  <c r="V669" s="292"/>
      <c r="W669" s="292"/>
      <c r="X669" s="292"/>
      <c r="Y669" s="292"/>
      <c r="Z669" s="292"/>
    </row>
    <row r="670" ht="15.75" customHeight="1">
      <c r="A670" s="292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  <c r="V670" s="292"/>
      <c r="W670" s="292"/>
      <c r="X670" s="292"/>
      <c r="Y670" s="292"/>
      <c r="Z670" s="292"/>
    </row>
    <row r="671" ht="15.75" customHeight="1">
      <c r="A671" s="292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  <c r="V671" s="292"/>
      <c r="W671" s="292"/>
      <c r="X671" s="292"/>
      <c r="Y671" s="292"/>
      <c r="Z671" s="292"/>
    </row>
    <row r="672" ht="15.75" customHeight="1">
      <c r="A672" s="292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  <c r="V672" s="292"/>
      <c r="W672" s="292"/>
      <c r="X672" s="292"/>
      <c r="Y672" s="292"/>
      <c r="Z672" s="292"/>
    </row>
    <row r="673" ht="15.75" customHeight="1">
      <c r="A673" s="292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  <c r="V673" s="292"/>
      <c r="W673" s="292"/>
      <c r="X673" s="292"/>
      <c r="Y673" s="292"/>
      <c r="Z673" s="292"/>
    </row>
    <row r="674" ht="15.75" customHeight="1">
      <c r="A674" s="292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  <c r="V674" s="292"/>
      <c r="W674" s="292"/>
      <c r="X674" s="292"/>
      <c r="Y674" s="292"/>
      <c r="Z674" s="292"/>
    </row>
    <row r="675" ht="15.75" customHeight="1">
      <c r="A675" s="292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  <c r="V675" s="292"/>
      <c r="W675" s="292"/>
      <c r="X675" s="292"/>
      <c r="Y675" s="292"/>
      <c r="Z675" s="292"/>
    </row>
    <row r="676" ht="15.75" customHeight="1">
      <c r="A676" s="292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  <c r="V676" s="292"/>
      <c r="W676" s="292"/>
      <c r="X676" s="292"/>
      <c r="Y676" s="292"/>
      <c r="Z676" s="292"/>
    </row>
    <row r="677" ht="15.75" customHeight="1">
      <c r="A677" s="292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  <c r="V677" s="292"/>
      <c r="W677" s="292"/>
      <c r="X677" s="292"/>
      <c r="Y677" s="292"/>
      <c r="Z677" s="292"/>
    </row>
    <row r="678" ht="15.75" customHeight="1">
      <c r="A678" s="292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  <c r="V678" s="292"/>
      <c r="W678" s="292"/>
      <c r="X678" s="292"/>
      <c r="Y678" s="292"/>
      <c r="Z678" s="292"/>
    </row>
    <row r="679" ht="15.75" customHeight="1">
      <c r="A679" s="292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  <c r="V679" s="292"/>
      <c r="W679" s="292"/>
      <c r="X679" s="292"/>
      <c r="Y679" s="292"/>
      <c r="Z679" s="292"/>
    </row>
    <row r="680" ht="15.75" customHeight="1">
      <c r="A680" s="292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  <c r="V680" s="292"/>
      <c r="W680" s="292"/>
      <c r="X680" s="292"/>
      <c r="Y680" s="292"/>
      <c r="Z680" s="292"/>
    </row>
    <row r="681" ht="15.75" customHeight="1">
      <c r="A681" s="292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  <c r="V681" s="292"/>
      <c r="W681" s="292"/>
      <c r="X681" s="292"/>
      <c r="Y681" s="292"/>
      <c r="Z681" s="292"/>
    </row>
    <row r="682" ht="15.75" customHeight="1">
      <c r="A682" s="292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  <c r="V682" s="292"/>
      <c r="W682" s="292"/>
      <c r="X682" s="292"/>
      <c r="Y682" s="292"/>
      <c r="Z682" s="292"/>
    </row>
    <row r="683" ht="15.75" customHeight="1">
      <c r="A683" s="292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  <c r="V683" s="292"/>
      <c r="W683" s="292"/>
      <c r="X683" s="292"/>
      <c r="Y683" s="292"/>
      <c r="Z683" s="292"/>
    </row>
    <row r="684" ht="15.75" customHeight="1">
      <c r="A684" s="292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  <c r="V684" s="292"/>
      <c r="W684" s="292"/>
      <c r="X684" s="292"/>
      <c r="Y684" s="292"/>
      <c r="Z684" s="292"/>
    </row>
    <row r="685" ht="15.75" customHeight="1">
      <c r="A685" s="292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  <c r="V685" s="292"/>
      <c r="W685" s="292"/>
      <c r="X685" s="292"/>
      <c r="Y685" s="292"/>
      <c r="Z685" s="292"/>
    </row>
    <row r="686" ht="15.75" customHeight="1">
      <c r="A686" s="292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  <c r="V686" s="292"/>
      <c r="W686" s="292"/>
      <c r="X686" s="292"/>
      <c r="Y686" s="292"/>
      <c r="Z686" s="292"/>
    </row>
    <row r="687" ht="15.75" customHeight="1">
      <c r="A687" s="292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  <c r="V687" s="292"/>
      <c r="W687" s="292"/>
      <c r="X687" s="292"/>
      <c r="Y687" s="292"/>
      <c r="Z687" s="292"/>
    </row>
    <row r="688" ht="15.75" customHeight="1">
      <c r="A688" s="292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  <c r="V688" s="292"/>
      <c r="W688" s="292"/>
      <c r="X688" s="292"/>
      <c r="Y688" s="292"/>
      <c r="Z688" s="292"/>
    </row>
    <row r="689" ht="15.75" customHeight="1">
      <c r="A689" s="292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  <c r="V689" s="292"/>
      <c r="W689" s="292"/>
      <c r="X689" s="292"/>
      <c r="Y689" s="292"/>
      <c r="Z689" s="292"/>
    </row>
    <row r="690" ht="15.75" customHeight="1">
      <c r="A690" s="292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  <c r="V690" s="292"/>
      <c r="W690" s="292"/>
      <c r="X690" s="292"/>
      <c r="Y690" s="292"/>
      <c r="Z690" s="292"/>
    </row>
    <row r="691" ht="15.75" customHeight="1">
      <c r="A691" s="292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  <c r="V691" s="292"/>
      <c r="W691" s="292"/>
      <c r="X691" s="292"/>
      <c r="Y691" s="292"/>
      <c r="Z691" s="292"/>
    </row>
    <row r="692" ht="15.75" customHeight="1">
      <c r="A692" s="292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  <c r="V692" s="292"/>
      <c r="W692" s="292"/>
      <c r="X692" s="292"/>
      <c r="Y692" s="292"/>
      <c r="Z692" s="292"/>
    </row>
    <row r="693" ht="15.75" customHeight="1">
      <c r="A693" s="292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  <c r="V693" s="292"/>
      <c r="W693" s="292"/>
      <c r="X693" s="292"/>
      <c r="Y693" s="292"/>
      <c r="Z693" s="292"/>
    </row>
    <row r="694" ht="15.75" customHeight="1">
      <c r="A694" s="292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  <c r="V694" s="292"/>
      <c r="W694" s="292"/>
      <c r="X694" s="292"/>
      <c r="Y694" s="292"/>
      <c r="Z694" s="292"/>
    </row>
    <row r="695" ht="15.75" customHeight="1">
      <c r="A695" s="292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  <c r="V695" s="292"/>
      <c r="W695" s="292"/>
      <c r="X695" s="292"/>
      <c r="Y695" s="292"/>
      <c r="Z695" s="292"/>
    </row>
    <row r="696" ht="15.75" customHeight="1">
      <c r="A696" s="292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  <c r="V696" s="292"/>
      <c r="W696" s="292"/>
      <c r="X696" s="292"/>
      <c r="Y696" s="292"/>
      <c r="Z696" s="292"/>
    </row>
    <row r="697" ht="15.75" customHeight="1">
      <c r="A697" s="292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  <c r="V697" s="292"/>
      <c r="W697" s="292"/>
      <c r="X697" s="292"/>
      <c r="Y697" s="292"/>
      <c r="Z697" s="292"/>
    </row>
    <row r="698" ht="15.75" customHeight="1">
      <c r="A698" s="292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  <c r="V698" s="292"/>
      <c r="W698" s="292"/>
      <c r="X698" s="292"/>
      <c r="Y698" s="292"/>
      <c r="Z698" s="292"/>
    </row>
    <row r="699" ht="15.75" customHeight="1">
      <c r="A699" s="292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  <c r="V699" s="292"/>
      <c r="W699" s="292"/>
      <c r="X699" s="292"/>
      <c r="Y699" s="292"/>
      <c r="Z699" s="292"/>
    </row>
    <row r="700" ht="15.75" customHeight="1">
      <c r="A700" s="292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  <c r="V700" s="292"/>
      <c r="W700" s="292"/>
      <c r="X700" s="292"/>
      <c r="Y700" s="292"/>
      <c r="Z700" s="292"/>
    </row>
    <row r="701" ht="15.75" customHeight="1">
      <c r="A701" s="292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  <c r="V701" s="292"/>
      <c r="W701" s="292"/>
      <c r="X701" s="292"/>
      <c r="Y701" s="292"/>
      <c r="Z701" s="292"/>
    </row>
    <row r="702" ht="15.75" customHeight="1">
      <c r="A702" s="292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  <c r="V702" s="292"/>
      <c r="W702" s="292"/>
      <c r="X702" s="292"/>
      <c r="Y702" s="292"/>
      <c r="Z702" s="292"/>
    </row>
    <row r="703" ht="15.75" customHeight="1">
      <c r="A703" s="292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  <c r="V703" s="292"/>
      <c r="W703" s="292"/>
      <c r="X703" s="292"/>
      <c r="Y703" s="292"/>
      <c r="Z703" s="292"/>
    </row>
    <row r="704" ht="15.75" customHeight="1">
      <c r="A704" s="292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  <c r="V704" s="292"/>
      <c r="W704" s="292"/>
      <c r="X704" s="292"/>
      <c r="Y704" s="292"/>
      <c r="Z704" s="292"/>
    </row>
    <row r="705" ht="15.75" customHeight="1">
      <c r="A705" s="292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  <c r="V705" s="292"/>
      <c r="W705" s="292"/>
      <c r="X705" s="292"/>
      <c r="Y705" s="292"/>
      <c r="Z705" s="292"/>
    </row>
    <row r="706" ht="15.75" customHeight="1">
      <c r="A706" s="292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  <c r="V706" s="292"/>
      <c r="W706" s="292"/>
      <c r="X706" s="292"/>
      <c r="Y706" s="292"/>
      <c r="Z706" s="292"/>
    </row>
    <row r="707" ht="15.75" customHeight="1">
      <c r="A707" s="292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  <c r="V707" s="292"/>
      <c r="W707" s="292"/>
      <c r="X707" s="292"/>
      <c r="Y707" s="292"/>
      <c r="Z707" s="292"/>
    </row>
    <row r="708" ht="15.75" customHeight="1">
      <c r="A708" s="292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  <c r="V708" s="292"/>
      <c r="W708" s="292"/>
      <c r="X708" s="292"/>
      <c r="Y708" s="292"/>
      <c r="Z708" s="292"/>
    </row>
    <row r="709" ht="15.75" customHeight="1">
      <c r="A709" s="292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  <c r="V709" s="292"/>
      <c r="W709" s="292"/>
      <c r="X709" s="292"/>
      <c r="Y709" s="292"/>
      <c r="Z709" s="292"/>
    </row>
    <row r="710" ht="15.75" customHeight="1">
      <c r="A710" s="292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  <c r="V710" s="292"/>
      <c r="W710" s="292"/>
      <c r="X710" s="292"/>
      <c r="Y710" s="292"/>
      <c r="Z710" s="292"/>
    </row>
    <row r="711" ht="15.75" customHeight="1">
      <c r="A711" s="292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  <c r="V711" s="292"/>
      <c r="W711" s="292"/>
      <c r="X711" s="292"/>
      <c r="Y711" s="292"/>
      <c r="Z711" s="292"/>
    </row>
    <row r="712" ht="15.75" customHeight="1">
      <c r="A712" s="292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  <c r="V712" s="292"/>
      <c r="W712" s="292"/>
      <c r="X712" s="292"/>
      <c r="Y712" s="292"/>
      <c r="Z712" s="292"/>
    </row>
    <row r="713" ht="15.75" customHeight="1">
      <c r="A713" s="292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  <c r="V713" s="292"/>
      <c r="W713" s="292"/>
      <c r="X713" s="292"/>
      <c r="Y713" s="292"/>
      <c r="Z713" s="292"/>
    </row>
    <row r="714" ht="15.75" customHeight="1">
      <c r="A714" s="292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  <c r="V714" s="292"/>
      <c r="W714" s="292"/>
      <c r="X714" s="292"/>
      <c r="Y714" s="292"/>
      <c r="Z714" s="292"/>
    </row>
    <row r="715" ht="15.75" customHeight="1">
      <c r="A715" s="292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  <c r="V715" s="292"/>
      <c r="W715" s="292"/>
      <c r="X715" s="292"/>
      <c r="Y715" s="292"/>
      <c r="Z715" s="292"/>
    </row>
    <row r="716" ht="15.75" customHeight="1">
      <c r="A716" s="292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  <c r="V716" s="292"/>
      <c r="W716" s="292"/>
      <c r="X716" s="292"/>
      <c r="Y716" s="292"/>
      <c r="Z716" s="292"/>
    </row>
    <row r="717" ht="15.75" customHeight="1">
      <c r="A717" s="292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  <c r="V717" s="292"/>
      <c r="W717" s="292"/>
      <c r="X717" s="292"/>
      <c r="Y717" s="292"/>
      <c r="Z717" s="292"/>
    </row>
    <row r="718" ht="15.75" customHeight="1">
      <c r="A718" s="292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  <c r="V718" s="292"/>
      <c r="W718" s="292"/>
      <c r="X718" s="292"/>
      <c r="Y718" s="292"/>
      <c r="Z718" s="292"/>
    </row>
    <row r="719" ht="15.75" customHeight="1">
      <c r="A719" s="292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  <c r="V719" s="292"/>
      <c r="W719" s="292"/>
      <c r="X719" s="292"/>
      <c r="Y719" s="292"/>
      <c r="Z719" s="292"/>
    </row>
    <row r="720" ht="15.75" customHeight="1">
      <c r="A720" s="292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  <c r="V720" s="292"/>
      <c r="W720" s="292"/>
      <c r="X720" s="292"/>
      <c r="Y720" s="292"/>
      <c r="Z720" s="292"/>
    </row>
    <row r="721" ht="15.75" customHeight="1">
      <c r="A721" s="292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  <c r="V721" s="292"/>
      <c r="W721" s="292"/>
      <c r="X721" s="292"/>
      <c r="Y721" s="292"/>
      <c r="Z721" s="292"/>
    </row>
    <row r="722" ht="15.75" customHeight="1">
      <c r="A722" s="292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  <c r="V722" s="292"/>
      <c r="W722" s="292"/>
      <c r="X722" s="292"/>
      <c r="Y722" s="292"/>
      <c r="Z722" s="292"/>
    </row>
    <row r="723" ht="15.75" customHeight="1">
      <c r="A723" s="292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  <c r="V723" s="292"/>
      <c r="W723" s="292"/>
      <c r="X723" s="292"/>
      <c r="Y723" s="292"/>
      <c r="Z723" s="292"/>
    </row>
    <row r="724" ht="15.75" customHeight="1">
      <c r="A724" s="292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  <c r="V724" s="292"/>
      <c r="W724" s="292"/>
      <c r="X724" s="292"/>
      <c r="Y724" s="292"/>
      <c r="Z724" s="292"/>
    </row>
    <row r="725" ht="15.75" customHeight="1">
      <c r="A725" s="292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  <c r="V725" s="292"/>
      <c r="W725" s="292"/>
      <c r="X725" s="292"/>
      <c r="Y725" s="292"/>
      <c r="Z725" s="292"/>
    </row>
    <row r="726" ht="15.75" customHeight="1">
      <c r="A726" s="292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  <c r="V726" s="292"/>
      <c r="W726" s="292"/>
      <c r="X726" s="292"/>
      <c r="Y726" s="292"/>
      <c r="Z726" s="292"/>
    </row>
    <row r="727" ht="15.75" customHeight="1">
      <c r="A727" s="292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  <c r="V727" s="292"/>
      <c r="W727" s="292"/>
      <c r="X727" s="292"/>
      <c r="Y727" s="292"/>
      <c r="Z727" s="292"/>
    </row>
    <row r="728" ht="15.75" customHeight="1">
      <c r="A728" s="292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  <c r="V728" s="292"/>
      <c r="W728" s="292"/>
      <c r="X728" s="292"/>
      <c r="Y728" s="292"/>
      <c r="Z728" s="292"/>
    </row>
    <row r="729" ht="15.75" customHeight="1">
      <c r="A729" s="292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  <c r="V729" s="292"/>
      <c r="W729" s="292"/>
      <c r="X729" s="292"/>
      <c r="Y729" s="292"/>
      <c r="Z729" s="292"/>
    </row>
    <row r="730" ht="15.75" customHeight="1">
      <c r="A730" s="292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  <c r="V730" s="292"/>
      <c r="W730" s="292"/>
      <c r="X730" s="292"/>
      <c r="Y730" s="292"/>
      <c r="Z730" s="292"/>
    </row>
    <row r="731" ht="15.75" customHeight="1">
      <c r="A731" s="292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  <c r="V731" s="292"/>
      <c r="W731" s="292"/>
      <c r="X731" s="292"/>
      <c r="Y731" s="292"/>
      <c r="Z731" s="292"/>
    </row>
    <row r="732" ht="15.75" customHeight="1">
      <c r="A732" s="292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  <c r="V732" s="292"/>
      <c r="W732" s="292"/>
      <c r="X732" s="292"/>
      <c r="Y732" s="292"/>
      <c r="Z732" s="292"/>
    </row>
    <row r="733" ht="15.75" customHeight="1">
      <c r="A733" s="292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  <c r="V733" s="292"/>
      <c r="W733" s="292"/>
      <c r="X733" s="292"/>
      <c r="Y733" s="292"/>
      <c r="Z733" s="292"/>
    </row>
    <row r="734" ht="15.75" customHeight="1">
      <c r="A734" s="292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  <c r="V734" s="292"/>
      <c r="W734" s="292"/>
      <c r="X734" s="292"/>
      <c r="Y734" s="292"/>
      <c r="Z734" s="292"/>
    </row>
    <row r="735" ht="15.75" customHeight="1">
      <c r="A735" s="292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  <c r="V735" s="292"/>
      <c r="W735" s="292"/>
      <c r="X735" s="292"/>
      <c r="Y735" s="292"/>
      <c r="Z735" s="292"/>
    </row>
    <row r="736" ht="15.75" customHeight="1">
      <c r="A736" s="292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  <c r="V736" s="292"/>
      <c r="W736" s="292"/>
      <c r="X736" s="292"/>
      <c r="Y736" s="292"/>
      <c r="Z736" s="292"/>
    </row>
    <row r="737" ht="15.75" customHeight="1">
      <c r="A737" s="292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  <c r="V737" s="292"/>
      <c r="W737" s="292"/>
      <c r="X737" s="292"/>
      <c r="Y737" s="292"/>
      <c r="Z737" s="292"/>
    </row>
    <row r="738" ht="15.75" customHeight="1">
      <c r="A738" s="292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  <c r="V738" s="292"/>
      <c r="W738" s="292"/>
      <c r="X738" s="292"/>
      <c r="Y738" s="292"/>
      <c r="Z738" s="292"/>
    </row>
    <row r="739" ht="15.75" customHeight="1">
      <c r="A739" s="292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  <c r="V739" s="292"/>
      <c r="W739" s="292"/>
      <c r="X739" s="292"/>
      <c r="Y739" s="292"/>
      <c r="Z739" s="292"/>
    </row>
    <row r="740" ht="15.75" customHeight="1">
      <c r="A740" s="292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  <c r="V740" s="292"/>
      <c r="W740" s="292"/>
      <c r="X740" s="292"/>
      <c r="Y740" s="292"/>
      <c r="Z740" s="292"/>
    </row>
    <row r="741" ht="15.75" customHeight="1">
      <c r="A741" s="292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  <c r="V741" s="292"/>
      <c r="W741" s="292"/>
      <c r="X741" s="292"/>
      <c r="Y741" s="292"/>
      <c r="Z741" s="292"/>
    </row>
    <row r="742" ht="15.75" customHeight="1">
      <c r="A742" s="292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  <c r="V742" s="292"/>
      <c r="W742" s="292"/>
      <c r="X742" s="292"/>
      <c r="Y742" s="292"/>
      <c r="Z742" s="292"/>
    </row>
    <row r="743" ht="15.75" customHeight="1">
      <c r="A743" s="292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  <c r="V743" s="292"/>
      <c r="W743" s="292"/>
      <c r="X743" s="292"/>
      <c r="Y743" s="292"/>
      <c r="Z743" s="292"/>
    </row>
    <row r="744" ht="15.75" customHeight="1">
      <c r="A744" s="292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  <c r="V744" s="292"/>
      <c r="W744" s="292"/>
      <c r="X744" s="292"/>
      <c r="Y744" s="292"/>
      <c r="Z744" s="292"/>
    </row>
    <row r="745" ht="15.75" customHeight="1">
      <c r="A745" s="292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  <c r="V745" s="292"/>
      <c r="W745" s="292"/>
      <c r="X745" s="292"/>
      <c r="Y745" s="292"/>
      <c r="Z745" s="292"/>
    </row>
    <row r="746" ht="15.75" customHeight="1">
      <c r="A746" s="292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  <c r="V746" s="292"/>
      <c r="W746" s="292"/>
      <c r="X746" s="292"/>
      <c r="Y746" s="292"/>
      <c r="Z746" s="292"/>
    </row>
    <row r="747" ht="15.75" customHeight="1">
      <c r="A747" s="292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  <c r="V747" s="292"/>
      <c r="W747" s="292"/>
      <c r="X747" s="292"/>
      <c r="Y747" s="292"/>
      <c r="Z747" s="292"/>
    </row>
    <row r="748" ht="15.75" customHeight="1">
      <c r="A748" s="292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  <c r="V748" s="292"/>
      <c r="W748" s="292"/>
      <c r="X748" s="292"/>
      <c r="Y748" s="292"/>
      <c r="Z748" s="292"/>
    </row>
    <row r="749" ht="15.75" customHeight="1">
      <c r="A749" s="292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  <c r="V749" s="292"/>
      <c r="W749" s="292"/>
      <c r="X749" s="292"/>
      <c r="Y749" s="292"/>
      <c r="Z749" s="292"/>
    </row>
    <row r="750" ht="15.75" customHeight="1">
      <c r="A750" s="292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  <c r="V750" s="292"/>
      <c r="W750" s="292"/>
      <c r="X750" s="292"/>
      <c r="Y750" s="292"/>
      <c r="Z750" s="292"/>
    </row>
    <row r="751" ht="15.75" customHeight="1">
      <c r="A751" s="292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  <c r="V751" s="292"/>
      <c r="W751" s="292"/>
      <c r="X751" s="292"/>
      <c r="Y751" s="292"/>
      <c r="Z751" s="292"/>
    </row>
    <row r="752" ht="15.75" customHeight="1">
      <c r="A752" s="292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  <c r="V752" s="292"/>
      <c r="W752" s="292"/>
      <c r="X752" s="292"/>
      <c r="Y752" s="292"/>
      <c r="Z752" s="292"/>
    </row>
    <row r="753" ht="15.75" customHeight="1">
      <c r="A753" s="292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  <c r="V753" s="292"/>
      <c r="W753" s="292"/>
      <c r="X753" s="292"/>
      <c r="Y753" s="292"/>
      <c r="Z753" s="292"/>
    </row>
    <row r="754" ht="15.75" customHeight="1">
      <c r="A754" s="292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  <c r="V754" s="292"/>
      <c r="W754" s="292"/>
      <c r="X754" s="292"/>
      <c r="Y754" s="292"/>
      <c r="Z754" s="292"/>
    </row>
    <row r="755" ht="15.75" customHeight="1">
      <c r="A755" s="292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  <c r="V755" s="292"/>
      <c r="W755" s="292"/>
      <c r="X755" s="292"/>
      <c r="Y755" s="292"/>
      <c r="Z755" s="292"/>
    </row>
    <row r="756" ht="15.75" customHeight="1">
      <c r="A756" s="292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  <c r="V756" s="292"/>
      <c r="W756" s="292"/>
      <c r="X756" s="292"/>
      <c r="Y756" s="292"/>
      <c r="Z756" s="292"/>
    </row>
    <row r="757" ht="15.75" customHeight="1">
      <c r="A757" s="292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  <c r="V757" s="292"/>
      <c r="W757" s="292"/>
      <c r="X757" s="292"/>
      <c r="Y757" s="292"/>
      <c r="Z757" s="292"/>
    </row>
    <row r="758" ht="15.75" customHeight="1">
      <c r="A758" s="292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  <c r="V758" s="292"/>
      <c r="W758" s="292"/>
      <c r="X758" s="292"/>
      <c r="Y758" s="292"/>
      <c r="Z758" s="292"/>
    </row>
    <row r="759" ht="15.75" customHeight="1">
      <c r="A759" s="292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  <c r="V759" s="292"/>
      <c r="W759" s="292"/>
      <c r="X759" s="292"/>
      <c r="Y759" s="292"/>
      <c r="Z759" s="292"/>
    </row>
    <row r="760" ht="15.75" customHeight="1">
      <c r="A760" s="292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  <c r="V760" s="292"/>
      <c r="W760" s="292"/>
      <c r="X760" s="292"/>
      <c r="Y760" s="292"/>
      <c r="Z760" s="292"/>
    </row>
    <row r="761" ht="15.75" customHeight="1">
      <c r="A761" s="292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  <c r="V761" s="292"/>
      <c r="W761" s="292"/>
      <c r="X761" s="292"/>
      <c r="Y761" s="292"/>
      <c r="Z761" s="292"/>
    </row>
    <row r="762" ht="15.75" customHeight="1">
      <c r="A762" s="292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  <c r="V762" s="292"/>
      <c r="W762" s="292"/>
      <c r="X762" s="292"/>
      <c r="Y762" s="292"/>
      <c r="Z762" s="292"/>
    </row>
    <row r="763" ht="15.75" customHeight="1">
      <c r="A763" s="292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  <c r="V763" s="292"/>
      <c r="W763" s="292"/>
      <c r="X763" s="292"/>
      <c r="Y763" s="292"/>
      <c r="Z763" s="292"/>
    </row>
    <row r="764" ht="15.75" customHeight="1">
      <c r="A764" s="292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  <c r="V764" s="292"/>
      <c r="W764" s="292"/>
      <c r="X764" s="292"/>
      <c r="Y764" s="292"/>
      <c r="Z764" s="292"/>
    </row>
    <row r="765" ht="15.75" customHeight="1">
      <c r="A765" s="292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  <c r="V765" s="292"/>
      <c r="W765" s="292"/>
      <c r="X765" s="292"/>
      <c r="Y765" s="292"/>
      <c r="Z765" s="292"/>
    </row>
    <row r="766" ht="15.75" customHeight="1">
      <c r="A766" s="292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  <c r="V766" s="292"/>
      <c r="W766" s="292"/>
      <c r="X766" s="292"/>
      <c r="Y766" s="292"/>
      <c r="Z766" s="292"/>
    </row>
    <row r="767" ht="15.75" customHeight="1">
      <c r="A767" s="292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  <c r="V767" s="292"/>
      <c r="W767" s="292"/>
      <c r="X767" s="292"/>
      <c r="Y767" s="292"/>
      <c r="Z767" s="292"/>
    </row>
    <row r="768" ht="15.75" customHeight="1">
      <c r="A768" s="292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  <c r="V768" s="292"/>
      <c r="W768" s="292"/>
      <c r="X768" s="292"/>
      <c r="Y768" s="292"/>
      <c r="Z768" s="292"/>
    </row>
    <row r="769" ht="15.75" customHeight="1">
      <c r="A769" s="292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  <c r="V769" s="292"/>
      <c r="W769" s="292"/>
      <c r="X769" s="292"/>
      <c r="Y769" s="292"/>
      <c r="Z769" s="292"/>
    </row>
    <row r="770" ht="15.75" customHeight="1">
      <c r="A770" s="292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  <c r="V770" s="292"/>
      <c r="W770" s="292"/>
      <c r="X770" s="292"/>
      <c r="Y770" s="292"/>
      <c r="Z770" s="292"/>
    </row>
    <row r="771" ht="15.75" customHeight="1">
      <c r="A771" s="292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  <c r="V771" s="292"/>
      <c r="W771" s="292"/>
      <c r="X771" s="292"/>
      <c r="Y771" s="292"/>
      <c r="Z771" s="292"/>
    </row>
    <row r="772" ht="15.75" customHeight="1">
      <c r="A772" s="292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  <c r="V772" s="292"/>
      <c r="W772" s="292"/>
      <c r="X772" s="292"/>
      <c r="Y772" s="292"/>
      <c r="Z772" s="292"/>
    </row>
    <row r="773" ht="15.75" customHeight="1">
      <c r="A773" s="292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  <c r="V773" s="292"/>
      <c r="W773" s="292"/>
      <c r="X773" s="292"/>
      <c r="Y773" s="292"/>
      <c r="Z773" s="292"/>
    </row>
    <row r="774" ht="15.75" customHeight="1">
      <c r="A774" s="292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  <c r="V774" s="292"/>
      <c r="W774" s="292"/>
      <c r="X774" s="292"/>
      <c r="Y774" s="292"/>
      <c r="Z774" s="292"/>
    </row>
    <row r="775" ht="15.75" customHeight="1">
      <c r="A775" s="292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  <c r="V775" s="292"/>
      <c r="W775" s="292"/>
      <c r="X775" s="292"/>
      <c r="Y775" s="292"/>
      <c r="Z775" s="292"/>
    </row>
    <row r="776" ht="15.75" customHeight="1">
      <c r="A776" s="292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  <c r="V776" s="292"/>
      <c r="W776" s="292"/>
      <c r="X776" s="292"/>
      <c r="Y776" s="292"/>
      <c r="Z776" s="292"/>
    </row>
    <row r="777" ht="15.75" customHeight="1">
      <c r="A777" s="292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  <c r="V777" s="292"/>
      <c r="W777" s="292"/>
      <c r="X777" s="292"/>
      <c r="Y777" s="292"/>
      <c r="Z777" s="292"/>
    </row>
    <row r="778" ht="15.75" customHeight="1">
      <c r="A778" s="292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  <c r="V778" s="292"/>
      <c r="W778" s="292"/>
      <c r="X778" s="292"/>
      <c r="Y778" s="292"/>
      <c r="Z778" s="292"/>
    </row>
    <row r="779" ht="15.75" customHeight="1">
      <c r="A779" s="292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  <c r="V779" s="292"/>
      <c r="W779" s="292"/>
      <c r="X779" s="292"/>
      <c r="Y779" s="292"/>
      <c r="Z779" s="292"/>
    </row>
    <row r="780" ht="15.75" customHeight="1">
      <c r="A780" s="292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  <c r="V780" s="292"/>
      <c r="W780" s="292"/>
      <c r="X780" s="292"/>
      <c r="Y780" s="292"/>
      <c r="Z780" s="292"/>
    </row>
    <row r="781" ht="15.75" customHeight="1">
      <c r="A781" s="292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  <c r="V781" s="292"/>
      <c r="W781" s="292"/>
      <c r="X781" s="292"/>
      <c r="Y781" s="292"/>
      <c r="Z781" s="292"/>
    </row>
    <row r="782" ht="15.75" customHeight="1">
      <c r="A782" s="292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  <c r="V782" s="292"/>
      <c r="W782" s="292"/>
      <c r="X782" s="292"/>
      <c r="Y782" s="292"/>
      <c r="Z782" s="292"/>
    </row>
    <row r="783" ht="15.75" customHeight="1">
      <c r="A783" s="292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  <c r="V783" s="292"/>
      <c r="W783" s="292"/>
      <c r="X783" s="292"/>
      <c r="Y783" s="292"/>
      <c r="Z783" s="292"/>
    </row>
    <row r="784" ht="15.75" customHeight="1">
      <c r="A784" s="292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  <c r="V784" s="292"/>
      <c r="W784" s="292"/>
      <c r="X784" s="292"/>
      <c r="Y784" s="292"/>
      <c r="Z784" s="292"/>
    </row>
    <row r="785" ht="15.75" customHeight="1">
      <c r="A785" s="292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  <c r="V785" s="292"/>
      <c r="W785" s="292"/>
      <c r="X785" s="292"/>
      <c r="Y785" s="292"/>
      <c r="Z785" s="292"/>
    </row>
    <row r="786" ht="15.75" customHeight="1">
      <c r="A786" s="292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  <c r="V786" s="292"/>
      <c r="W786" s="292"/>
      <c r="X786" s="292"/>
      <c r="Y786" s="292"/>
      <c r="Z786" s="292"/>
    </row>
    <row r="787" ht="15.75" customHeight="1">
      <c r="A787" s="292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  <c r="V787" s="292"/>
      <c r="W787" s="292"/>
      <c r="X787" s="292"/>
      <c r="Y787" s="292"/>
      <c r="Z787" s="292"/>
    </row>
    <row r="788" ht="15.75" customHeight="1">
      <c r="A788" s="292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  <c r="V788" s="292"/>
      <c r="W788" s="292"/>
      <c r="X788" s="292"/>
      <c r="Y788" s="292"/>
      <c r="Z788" s="292"/>
    </row>
    <row r="789" ht="15.75" customHeight="1">
      <c r="A789" s="292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  <c r="V789" s="292"/>
      <c r="W789" s="292"/>
      <c r="X789" s="292"/>
      <c r="Y789" s="292"/>
      <c r="Z789" s="292"/>
    </row>
    <row r="790" ht="15.75" customHeight="1">
      <c r="A790" s="292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  <c r="V790" s="292"/>
      <c r="W790" s="292"/>
      <c r="X790" s="292"/>
      <c r="Y790" s="292"/>
      <c r="Z790" s="292"/>
    </row>
    <row r="791" ht="15.75" customHeight="1">
      <c r="A791" s="292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  <c r="V791" s="292"/>
      <c r="W791" s="292"/>
      <c r="X791" s="292"/>
      <c r="Y791" s="292"/>
      <c r="Z791" s="292"/>
    </row>
    <row r="792" ht="15.75" customHeight="1">
      <c r="A792" s="292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  <c r="V792" s="292"/>
      <c r="W792" s="292"/>
      <c r="X792" s="292"/>
      <c r="Y792" s="292"/>
      <c r="Z792" s="292"/>
    </row>
    <row r="793" ht="15.75" customHeight="1">
      <c r="A793" s="292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  <c r="V793" s="292"/>
      <c r="W793" s="292"/>
      <c r="X793" s="292"/>
      <c r="Y793" s="292"/>
      <c r="Z793" s="292"/>
    </row>
    <row r="794" ht="15.75" customHeight="1">
      <c r="A794" s="292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  <c r="V794" s="292"/>
      <c r="W794" s="292"/>
      <c r="X794" s="292"/>
      <c r="Y794" s="292"/>
      <c r="Z794" s="292"/>
    </row>
    <row r="795" ht="15.75" customHeight="1">
      <c r="A795" s="292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  <c r="V795" s="292"/>
      <c r="W795" s="292"/>
      <c r="X795" s="292"/>
      <c r="Y795" s="292"/>
      <c r="Z795" s="292"/>
    </row>
    <row r="796" ht="15.75" customHeight="1">
      <c r="A796" s="292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  <c r="V796" s="292"/>
      <c r="W796" s="292"/>
      <c r="X796" s="292"/>
      <c r="Y796" s="292"/>
      <c r="Z796" s="292"/>
    </row>
    <row r="797" ht="15.75" customHeight="1">
      <c r="A797" s="292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  <c r="V797" s="292"/>
      <c r="W797" s="292"/>
      <c r="X797" s="292"/>
      <c r="Y797" s="292"/>
      <c r="Z797" s="292"/>
    </row>
    <row r="798" ht="15.75" customHeight="1">
      <c r="A798" s="292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  <c r="V798" s="292"/>
      <c r="W798" s="292"/>
      <c r="X798" s="292"/>
      <c r="Y798" s="292"/>
      <c r="Z798" s="292"/>
    </row>
    <row r="799" ht="15.75" customHeight="1">
      <c r="A799" s="292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  <c r="V799" s="292"/>
      <c r="W799" s="292"/>
      <c r="X799" s="292"/>
      <c r="Y799" s="292"/>
      <c r="Z799" s="292"/>
    </row>
    <row r="800" ht="15.75" customHeight="1">
      <c r="A800" s="292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  <c r="V800" s="292"/>
      <c r="W800" s="292"/>
      <c r="X800" s="292"/>
      <c r="Y800" s="292"/>
      <c r="Z800" s="292"/>
    </row>
    <row r="801" ht="15.75" customHeight="1">
      <c r="A801" s="292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  <c r="V801" s="292"/>
      <c r="W801" s="292"/>
      <c r="X801" s="292"/>
      <c r="Y801" s="292"/>
      <c r="Z801" s="292"/>
    </row>
    <row r="802" ht="15.75" customHeight="1">
      <c r="A802" s="292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  <c r="V802" s="292"/>
      <c r="W802" s="292"/>
      <c r="X802" s="292"/>
      <c r="Y802" s="292"/>
      <c r="Z802" s="292"/>
    </row>
    <row r="803" ht="15.75" customHeight="1">
      <c r="A803" s="292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  <c r="V803" s="292"/>
      <c r="W803" s="292"/>
      <c r="X803" s="292"/>
      <c r="Y803" s="292"/>
      <c r="Z803" s="292"/>
    </row>
    <row r="804" ht="15.75" customHeight="1">
      <c r="A804" s="292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  <c r="V804" s="292"/>
      <c r="W804" s="292"/>
      <c r="X804" s="292"/>
      <c r="Y804" s="292"/>
      <c r="Z804" s="292"/>
    </row>
    <row r="805" ht="15.75" customHeight="1">
      <c r="A805" s="292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  <c r="V805" s="292"/>
      <c r="W805" s="292"/>
      <c r="X805" s="292"/>
      <c r="Y805" s="292"/>
      <c r="Z805" s="292"/>
    </row>
    <row r="806" ht="15.75" customHeight="1">
      <c r="A806" s="292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  <c r="V806" s="292"/>
      <c r="W806" s="292"/>
      <c r="X806" s="292"/>
      <c r="Y806" s="292"/>
      <c r="Z806" s="292"/>
    </row>
    <row r="807" ht="15.75" customHeight="1">
      <c r="A807" s="292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  <c r="V807" s="292"/>
      <c r="W807" s="292"/>
      <c r="X807" s="292"/>
      <c r="Y807" s="292"/>
      <c r="Z807" s="292"/>
    </row>
    <row r="808" ht="15.75" customHeight="1">
      <c r="A808" s="292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  <c r="V808" s="292"/>
      <c r="W808" s="292"/>
      <c r="X808" s="292"/>
      <c r="Y808" s="292"/>
      <c r="Z808" s="292"/>
    </row>
    <row r="809" ht="15.75" customHeight="1">
      <c r="A809" s="292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  <c r="V809" s="292"/>
      <c r="W809" s="292"/>
      <c r="X809" s="292"/>
      <c r="Y809" s="292"/>
      <c r="Z809" s="292"/>
    </row>
    <row r="810" ht="15.75" customHeight="1">
      <c r="A810" s="292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  <c r="V810" s="292"/>
      <c r="W810" s="292"/>
      <c r="X810" s="292"/>
      <c r="Y810" s="292"/>
      <c r="Z810" s="292"/>
    </row>
    <row r="811" ht="15.75" customHeight="1">
      <c r="A811" s="292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  <c r="V811" s="292"/>
      <c r="W811" s="292"/>
      <c r="X811" s="292"/>
      <c r="Y811" s="292"/>
      <c r="Z811" s="292"/>
    </row>
    <row r="812" ht="15.75" customHeight="1">
      <c r="A812" s="292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  <c r="V812" s="292"/>
      <c r="W812" s="292"/>
      <c r="X812" s="292"/>
      <c r="Y812" s="292"/>
      <c r="Z812" s="292"/>
    </row>
    <row r="813" ht="15.75" customHeight="1">
      <c r="A813" s="292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  <c r="V813" s="292"/>
      <c r="W813" s="292"/>
      <c r="X813" s="292"/>
      <c r="Y813" s="292"/>
      <c r="Z813" s="292"/>
    </row>
    <row r="814" ht="15.75" customHeight="1">
      <c r="A814" s="292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  <c r="V814" s="292"/>
      <c r="W814" s="292"/>
      <c r="X814" s="292"/>
      <c r="Y814" s="292"/>
      <c r="Z814" s="292"/>
    </row>
    <row r="815" ht="15.75" customHeight="1">
      <c r="A815" s="292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  <c r="V815" s="292"/>
      <c r="W815" s="292"/>
      <c r="X815" s="292"/>
      <c r="Y815" s="292"/>
      <c r="Z815" s="292"/>
    </row>
    <row r="816" ht="15.75" customHeight="1">
      <c r="A816" s="292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  <c r="V816" s="292"/>
      <c r="W816" s="292"/>
      <c r="X816" s="292"/>
      <c r="Y816" s="292"/>
      <c r="Z816" s="292"/>
    </row>
    <row r="817" ht="15.75" customHeight="1">
      <c r="A817" s="292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  <c r="V817" s="292"/>
      <c r="W817" s="292"/>
      <c r="X817" s="292"/>
      <c r="Y817" s="292"/>
      <c r="Z817" s="292"/>
    </row>
    <row r="818" ht="15.75" customHeight="1">
      <c r="A818" s="292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  <c r="V818" s="292"/>
      <c r="W818" s="292"/>
      <c r="X818" s="292"/>
      <c r="Y818" s="292"/>
      <c r="Z818" s="292"/>
    </row>
    <row r="819" ht="15.75" customHeight="1">
      <c r="A819" s="292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  <c r="V819" s="292"/>
      <c r="W819" s="292"/>
      <c r="X819" s="292"/>
      <c r="Y819" s="292"/>
      <c r="Z819" s="292"/>
    </row>
    <row r="820" ht="15.75" customHeight="1">
      <c r="A820" s="292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  <c r="V820" s="292"/>
      <c r="W820" s="292"/>
      <c r="X820" s="292"/>
      <c r="Y820" s="292"/>
      <c r="Z820" s="292"/>
    </row>
    <row r="821" ht="15.75" customHeight="1">
      <c r="A821" s="292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  <c r="V821" s="292"/>
      <c r="W821" s="292"/>
      <c r="X821" s="292"/>
      <c r="Y821" s="292"/>
      <c r="Z821" s="292"/>
    </row>
    <row r="822" ht="15.75" customHeight="1">
      <c r="A822" s="292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  <c r="V822" s="292"/>
      <c r="W822" s="292"/>
      <c r="X822" s="292"/>
      <c r="Y822" s="292"/>
      <c r="Z822" s="292"/>
    </row>
    <row r="823" ht="15.75" customHeight="1">
      <c r="A823" s="292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  <c r="V823" s="292"/>
      <c r="W823" s="292"/>
      <c r="X823" s="292"/>
      <c r="Y823" s="292"/>
      <c r="Z823" s="292"/>
    </row>
    <row r="824" ht="15.75" customHeight="1">
      <c r="A824" s="292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  <c r="V824" s="292"/>
      <c r="W824" s="292"/>
      <c r="X824" s="292"/>
      <c r="Y824" s="292"/>
      <c r="Z824" s="292"/>
    </row>
    <row r="825" ht="15.75" customHeight="1">
      <c r="A825" s="292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  <c r="V825" s="292"/>
      <c r="W825" s="292"/>
      <c r="X825" s="292"/>
      <c r="Y825" s="292"/>
      <c r="Z825" s="292"/>
    </row>
    <row r="826" ht="15.75" customHeight="1">
      <c r="A826" s="292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  <c r="V826" s="292"/>
      <c r="W826" s="292"/>
      <c r="X826" s="292"/>
      <c r="Y826" s="292"/>
      <c r="Z826" s="292"/>
    </row>
    <row r="827" ht="15.75" customHeight="1">
      <c r="A827" s="292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  <c r="V827" s="292"/>
      <c r="W827" s="292"/>
      <c r="X827" s="292"/>
      <c r="Y827" s="292"/>
      <c r="Z827" s="292"/>
    </row>
    <row r="828" ht="15.75" customHeight="1">
      <c r="A828" s="292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  <c r="V828" s="292"/>
      <c r="W828" s="292"/>
      <c r="X828" s="292"/>
      <c r="Y828" s="292"/>
      <c r="Z828" s="292"/>
    </row>
    <row r="829" ht="15.75" customHeight="1">
      <c r="A829" s="292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  <c r="V829" s="292"/>
      <c r="W829" s="292"/>
      <c r="X829" s="292"/>
      <c r="Y829" s="292"/>
      <c r="Z829" s="292"/>
    </row>
    <row r="830" ht="15.75" customHeight="1">
      <c r="A830" s="292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  <c r="V830" s="292"/>
      <c r="W830" s="292"/>
      <c r="X830" s="292"/>
      <c r="Y830" s="292"/>
      <c r="Z830" s="292"/>
    </row>
    <row r="831" ht="15.75" customHeight="1">
      <c r="A831" s="292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  <c r="V831" s="292"/>
      <c r="W831" s="292"/>
      <c r="X831" s="292"/>
      <c r="Y831" s="292"/>
      <c r="Z831" s="292"/>
    </row>
    <row r="832" ht="15.75" customHeight="1">
      <c r="A832" s="292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  <c r="V832" s="292"/>
      <c r="W832" s="292"/>
      <c r="X832" s="292"/>
      <c r="Y832" s="292"/>
      <c r="Z832" s="292"/>
    </row>
    <row r="833" ht="15.75" customHeight="1">
      <c r="A833" s="292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  <c r="V833" s="292"/>
      <c r="W833" s="292"/>
      <c r="X833" s="292"/>
      <c r="Y833" s="292"/>
      <c r="Z833" s="292"/>
    </row>
    <row r="834" ht="15.75" customHeight="1">
      <c r="A834" s="292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  <c r="V834" s="292"/>
      <c r="W834" s="292"/>
      <c r="X834" s="292"/>
      <c r="Y834" s="292"/>
      <c r="Z834" s="292"/>
    </row>
    <row r="835" ht="15.75" customHeight="1">
      <c r="A835" s="292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  <c r="V835" s="292"/>
      <c r="W835" s="292"/>
      <c r="X835" s="292"/>
      <c r="Y835" s="292"/>
      <c r="Z835" s="292"/>
    </row>
    <row r="836" ht="15.75" customHeight="1">
      <c r="A836" s="292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  <c r="V836" s="292"/>
      <c r="W836" s="292"/>
      <c r="X836" s="292"/>
      <c r="Y836" s="292"/>
      <c r="Z836" s="292"/>
    </row>
    <row r="837" ht="15.75" customHeight="1">
      <c r="A837" s="292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  <c r="V837" s="292"/>
      <c r="W837" s="292"/>
      <c r="X837" s="292"/>
      <c r="Y837" s="292"/>
      <c r="Z837" s="292"/>
    </row>
    <row r="838" ht="15.75" customHeight="1">
      <c r="A838" s="292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  <c r="V838" s="292"/>
      <c r="W838" s="292"/>
      <c r="X838" s="292"/>
      <c r="Y838" s="292"/>
      <c r="Z838" s="292"/>
    </row>
    <row r="839" ht="15.75" customHeight="1">
      <c r="A839" s="292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  <c r="V839" s="292"/>
      <c r="W839" s="292"/>
      <c r="X839" s="292"/>
      <c r="Y839" s="292"/>
      <c r="Z839" s="292"/>
    </row>
    <row r="840" ht="15.75" customHeight="1">
      <c r="A840" s="292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  <c r="V840" s="292"/>
      <c r="W840" s="292"/>
      <c r="X840" s="292"/>
      <c r="Y840" s="292"/>
      <c r="Z840" s="292"/>
    </row>
    <row r="841" ht="15.75" customHeight="1">
      <c r="A841" s="292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  <c r="V841" s="292"/>
      <c r="W841" s="292"/>
      <c r="X841" s="292"/>
      <c r="Y841" s="292"/>
      <c r="Z841" s="292"/>
    </row>
    <row r="842" ht="15.75" customHeight="1">
      <c r="A842" s="292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  <c r="V842" s="292"/>
      <c r="W842" s="292"/>
      <c r="X842" s="292"/>
      <c r="Y842" s="292"/>
      <c r="Z842" s="292"/>
    </row>
    <row r="843" ht="15.75" customHeight="1">
      <c r="A843" s="292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  <c r="V843" s="292"/>
      <c r="W843" s="292"/>
      <c r="X843" s="292"/>
      <c r="Y843" s="292"/>
      <c r="Z843" s="292"/>
    </row>
    <row r="844" ht="15.75" customHeight="1">
      <c r="A844" s="292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  <c r="V844" s="292"/>
      <c r="W844" s="292"/>
      <c r="X844" s="292"/>
      <c r="Y844" s="292"/>
      <c r="Z844" s="292"/>
    </row>
    <row r="845" ht="15.75" customHeight="1">
      <c r="A845" s="292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  <c r="V845" s="292"/>
      <c r="W845" s="292"/>
      <c r="X845" s="292"/>
      <c r="Y845" s="292"/>
      <c r="Z845" s="292"/>
    </row>
    <row r="846" ht="15.75" customHeight="1">
      <c r="A846" s="292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  <c r="V846" s="292"/>
      <c r="W846" s="292"/>
      <c r="X846" s="292"/>
      <c r="Y846" s="292"/>
      <c r="Z846" s="292"/>
    </row>
    <row r="847" ht="15.75" customHeight="1">
      <c r="A847" s="292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  <c r="V847" s="292"/>
      <c r="W847" s="292"/>
      <c r="X847" s="292"/>
      <c r="Y847" s="292"/>
      <c r="Z847" s="292"/>
    </row>
    <row r="848" ht="15.75" customHeight="1">
      <c r="A848" s="292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  <c r="V848" s="292"/>
      <c r="W848" s="292"/>
      <c r="X848" s="292"/>
      <c r="Y848" s="292"/>
      <c r="Z848" s="292"/>
    </row>
    <row r="849" ht="15.75" customHeight="1">
      <c r="A849" s="292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  <c r="V849" s="292"/>
      <c r="W849" s="292"/>
      <c r="X849" s="292"/>
      <c r="Y849" s="292"/>
      <c r="Z849" s="292"/>
    </row>
    <row r="850" ht="15.75" customHeight="1">
      <c r="A850" s="292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  <c r="V850" s="292"/>
      <c r="W850" s="292"/>
      <c r="X850" s="292"/>
      <c r="Y850" s="292"/>
      <c r="Z850" s="292"/>
    </row>
    <row r="851" ht="15.75" customHeight="1">
      <c r="A851" s="292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  <c r="V851" s="292"/>
      <c r="W851" s="292"/>
      <c r="X851" s="292"/>
      <c r="Y851" s="292"/>
      <c r="Z851" s="292"/>
    </row>
    <row r="852" ht="15.75" customHeight="1">
      <c r="A852" s="292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  <c r="V852" s="292"/>
      <c r="W852" s="292"/>
      <c r="X852" s="292"/>
      <c r="Y852" s="292"/>
      <c r="Z852" s="292"/>
    </row>
    <row r="853" ht="15.75" customHeight="1">
      <c r="A853" s="292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  <c r="V853" s="292"/>
      <c r="W853" s="292"/>
      <c r="X853" s="292"/>
      <c r="Y853" s="292"/>
      <c r="Z853" s="292"/>
    </row>
    <row r="854" ht="15.75" customHeight="1">
      <c r="A854" s="292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  <c r="V854" s="292"/>
      <c r="W854" s="292"/>
      <c r="X854" s="292"/>
      <c r="Y854" s="292"/>
      <c r="Z854" s="292"/>
    </row>
    <row r="855" ht="15.75" customHeight="1">
      <c r="A855" s="292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  <c r="V855" s="292"/>
      <c r="W855" s="292"/>
      <c r="X855" s="292"/>
      <c r="Y855" s="292"/>
      <c r="Z855" s="292"/>
    </row>
    <row r="856" ht="15.75" customHeight="1">
      <c r="A856" s="292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  <c r="X856" s="292"/>
      <c r="Y856" s="292"/>
      <c r="Z856" s="292"/>
    </row>
    <row r="857" ht="15.75" customHeight="1">
      <c r="A857" s="292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  <c r="V857" s="292"/>
      <c r="W857" s="292"/>
      <c r="X857" s="292"/>
      <c r="Y857" s="292"/>
      <c r="Z857" s="292"/>
    </row>
    <row r="858" ht="15.75" customHeight="1">
      <c r="A858" s="292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  <c r="V858" s="292"/>
      <c r="W858" s="292"/>
      <c r="X858" s="292"/>
      <c r="Y858" s="292"/>
      <c r="Z858" s="292"/>
    </row>
    <row r="859" ht="15.75" customHeight="1">
      <c r="A859" s="292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  <c r="V859" s="292"/>
      <c r="W859" s="292"/>
      <c r="X859" s="292"/>
      <c r="Y859" s="292"/>
      <c r="Z859" s="292"/>
    </row>
    <row r="860" ht="15.75" customHeight="1">
      <c r="A860" s="292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  <c r="V860" s="292"/>
      <c r="W860" s="292"/>
      <c r="X860" s="292"/>
      <c r="Y860" s="292"/>
      <c r="Z860" s="292"/>
    </row>
    <row r="861" ht="15.75" customHeight="1">
      <c r="A861" s="292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  <c r="V861" s="292"/>
      <c r="W861" s="292"/>
      <c r="X861" s="292"/>
      <c r="Y861" s="292"/>
      <c r="Z861" s="292"/>
    </row>
    <row r="862" ht="15.75" customHeight="1">
      <c r="A862" s="292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  <c r="V862" s="292"/>
      <c r="W862" s="292"/>
      <c r="X862" s="292"/>
      <c r="Y862" s="292"/>
      <c r="Z862" s="292"/>
    </row>
    <row r="863" ht="15.75" customHeight="1">
      <c r="A863" s="292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  <c r="W863" s="292"/>
      <c r="X863" s="292"/>
      <c r="Y863" s="292"/>
      <c r="Z863" s="292"/>
    </row>
    <row r="864" ht="15.75" customHeight="1">
      <c r="A864" s="292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  <c r="W864" s="292"/>
      <c r="X864" s="292"/>
      <c r="Y864" s="292"/>
      <c r="Z864" s="292"/>
    </row>
    <row r="865" ht="15.75" customHeight="1">
      <c r="A865" s="292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  <c r="W865" s="292"/>
      <c r="X865" s="292"/>
      <c r="Y865" s="292"/>
      <c r="Z865" s="292"/>
    </row>
    <row r="866" ht="15.75" customHeight="1">
      <c r="A866" s="292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  <c r="W866" s="292"/>
      <c r="X866" s="292"/>
      <c r="Y866" s="292"/>
      <c r="Z866" s="292"/>
    </row>
    <row r="867" ht="15.75" customHeight="1">
      <c r="A867" s="292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  <c r="W867" s="292"/>
      <c r="X867" s="292"/>
      <c r="Y867" s="292"/>
      <c r="Z867" s="292"/>
    </row>
    <row r="868" ht="15.75" customHeight="1">
      <c r="A868" s="292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  <c r="V868" s="292"/>
      <c r="W868" s="292"/>
      <c r="X868" s="292"/>
      <c r="Y868" s="292"/>
      <c r="Z868" s="292"/>
    </row>
    <row r="869" ht="15.75" customHeight="1">
      <c r="A869" s="292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  <c r="V869" s="292"/>
      <c r="W869" s="292"/>
      <c r="X869" s="292"/>
      <c r="Y869" s="292"/>
      <c r="Z869" s="292"/>
    </row>
    <row r="870" ht="15.75" customHeight="1">
      <c r="A870" s="292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  <c r="X870" s="292"/>
      <c r="Y870" s="292"/>
      <c r="Z870" s="292"/>
    </row>
    <row r="871" ht="15.75" customHeight="1">
      <c r="A871" s="292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  <c r="X871" s="292"/>
      <c r="Y871" s="292"/>
      <c r="Z871" s="292"/>
    </row>
    <row r="872" ht="15.75" customHeight="1">
      <c r="A872" s="292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  <c r="X872" s="292"/>
      <c r="Y872" s="292"/>
      <c r="Z872" s="292"/>
    </row>
    <row r="873" ht="15.75" customHeight="1">
      <c r="A873" s="292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  <c r="X873" s="292"/>
      <c r="Y873" s="292"/>
      <c r="Z873" s="292"/>
    </row>
    <row r="874" ht="15.75" customHeight="1">
      <c r="A874" s="292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  <c r="X874" s="292"/>
      <c r="Y874" s="292"/>
      <c r="Z874" s="292"/>
    </row>
    <row r="875" ht="15.75" customHeight="1">
      <c r="A875" s="292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  <c r="V875" s="292"/>
      <c r="W875" s="292"/>
      <c r="X875" s="292"/>
      <c r="Y875" s="292"/>
      <c r="Z875" s="292"/>
    </row>
    <row r="876" ht="15.75" customHeight="1">
      <c r="A876" s="292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  <c r="V876" s="292"/>
      <c r="W876" s="292"/>
      <c r="X876" s="292"/>
      <c r="Y876" s="292"/>
      <c r="Z876" s="292"/>
    </row>
    <row r="877" ht="15.75" customHeight="1">
      <c r="A877" s="292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  <c r="V877" s="292"/>
      <c r="W877" s="292"/>
      <c r="X877" s="292"/>
      <c r="Y877" s="292"/>
      <c r="Z877" s="292"/>
    </row>
    <row r="878" ht="15.75" customHeight="1">
      <c r="A878" s="292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  <c r="V878" s="292"/>
      <c r="W878" s="292"/>
      <c r="X878" s="292"/>
      <c r="Y878" s="292"/>
      <c r="Z878" s="292"/>
    </row>
    <row r="879" ht="15.75" customHeight="1">
      <c r="A879" s="292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  <c r="V879" s="292"/>
      <c r="W879" s="292"/>
      <c r="X879" s="292"/>
      <c r="Y879" s="292"/>
      <c r="Z879" s="292"/>
    </row>
    <row r="880" ht="15.75" customHeight="1">
      <c r="A880" s="292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  <c r="W880" s="292"/>
      <c r="X880" s="292"/>
      <c r="Y880" s="292"/>
      <c r="Z880" s="292"/>
    </row>
    <row r="881" ht="15.75" customHeight="1">
      <c r="A881" s="292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  <c r="W881" s="292"/>
      <c r="X881" s="292"/>
      <c r="Y881" s="292"/>
      <c r="Z881" s="292"/>
    </row>
    <row r="882" ht="15.75" customHeight="1">
      <c r="A882" s="292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  <c r="V882" s="292"/>
      <c r="W882" s="292"/>
      <c r="X882" s="292"/>
      <c r="Y882" s="292"/>
      <c r="Z882" s="292"/>
    </row>
    <row r="883" ht="15.75" customHeight="1">
      <c r="A883" s="292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  <c r="V883" s="292"/>
      <c r="W883" s="292"/>
      <c r="X883" s="292"/>
      <c r="Y883" s="292"/>
      <c r="Z883" s="292"/>
    </row>
    <row r="884" ht="15.75" customHeight="1">
      <c r="A884" s="292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  <c r="V884" s="292"/>
      <c r="W884" s="292"/>
      <c r="X884" s="292"/>
      <c r="Y884" s="292"/>
      <c r="Z884" s="292"/>
    </row>
    <row r="885" ht="15.75" customHeight="1">
      <c r="A885" s="292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  <c r="V885" s="292"/>
      <c r="W885" s="292"/>
      <c r="X885" s="292"/>
      <c r="Y885" s="292"/>
      <c r="Z885" s="292"/>
    </row>
    <row r="886" ht="15.75" customHeight="1">
      <c r="A886" s="292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  <c r="V886" s="292"/>
      <c r="W886" s="292"/>
      <c r="X886" s="292"/>
      <c r="Y886" s="292"/>
      <c r="Z886" s="292"/>
    </row>
    <row r="887" ht="15.75" customHeight="1">
      <c r="A887" s="292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  <c r="V887" s="292"/>
      <c r="W887" s="292"/>
      <c r="X887" s="292"/>
      <c r="Y887" s="292"/>
      <c r="Z887" s="292"/>
    </row>
    <row r="888" ht="15.75" customHeight="1">
      <c r="A888" s="292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  <c r="V888" s="292"/>
      <c r="W888" s="292"/>
      <c r="X888" s="292"/>
      <c r="Y888" s="292"/>
      <c r="Z888" s="292"/>
    </row>
    <row r="889" ht="15.75" customHeight="1">
      <c r="A889" s="292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  <c r="V889" s="292"/>
      <c r="W889" s="292"/>
      <c r="X889" s="292"/>
      <c r="Y889" s="292"/>
      <c r="Z889" s="292"/>
    </row>
    <row r="890" ht="15.75" customHeight="1">
      <c r="A890" s="292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  <c r="V890" s="292"/>
      <c r="W890" s="292"/>
      <c r="X890" s="292"/>
      <c r="Y890" s="292"/>
      <c r="Z890" s="292"/>
    </row>
    <row r="891" ht="15.75" customHeight="1">
      <c r="A891" s="292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  <c r="V891" s="292"/>
      <c r="W891" s="292"/>
      <c r="X891" s="292"/>
      <c r="Y891" s="292"/>
      <c r="Z891" s="292"/>
    </row>
    <row r="892" ht="15.75" customHeight="1">
      <c r="A892" s="292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  <c r="V892" s="292"/>
      <c r="W892" s="292"/>
      <c r="X892" s="292"/>
      <c r="Y892" s="292"/>
      <c r="Z892" s="292"/>
    </row>
    <row r="893" ht="15.75" customHeight="1">
      <c r="A893" s="292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  <c r="V893" s="292"/>
      <c r="W893" s="292"/>
      <c r="X893" s="292"/>
      <c r="Y893" s="292"/>
      <c r="Z893" s="292"/>
    </row>
    <row r="894" ht="15.75" customHeight="1">
      <c r="A894" s="292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  <c r="V894" s="292"/>
      <c r="W894" s="292"/>
      <c r="X894" s="292"/>
      <c r="Y894" s="292"/>
      <c r="Z894" s="292"/>
    </row>
    <row r="895" ht="15.75" customHeight="1">
      <c r="A895" s="292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  <c r="V895" s="292"/>
      <c r="W895" s="292"/>
      <c r="X895" s="292"/>
      <c r="Y895" s="292"/>
      <c r="Z895" s="292"/>
    </row>
    <row r="896" ht="15.75" customHeight="1">
      <c r="A896" s="292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  <c r="V896" s="292"/>
      <c r="W896" s="292"/>
      <c r="X896" s="292"/>
      <c r="Y896" s="292"/>
      <c r="Z896" s="292"/>
    </row>
    <row r="897" ht="15.75" customHeight="1">
      <c r="A897" s="292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  <c r="V897" s="292"/>
      <c r="W897" s="292"/>
      <c r="X897" s="292"/>
      <c r="Y897" s="292"/>
      <c r="Z897" s="292"/>
    </row>
    <row r="898" ht="15.75" customHeight="1">
      <c r="A898" s="292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  <c r="V898" s="292"/>
      <c r="W898" s="292"/>
      <c r="X898" s="292"/>
      <c r="Y898" s="292"/>
      <c r="Z898" s="292"/>
    </row>
    <row r="899" ht="15.75" customHeight="1">
      <c r="A899" s="292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  <c r="V899" s="292"/>
      <c r="W899" s="292"/>
      <c r="X899" s="292"/>
      <c r="Y899" s="292"/>
      <c r="Z899" s="292"/>
    </row>
    <row r="900" ht="15.75" customHeight="1">
      <c r="A900" s="292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  <c r="V900" s="292"/>
      <c r="W900" s="292"/>
      <c r="X900" s="292"/>
      <c r="Y900" s="292"/>
      <c r="Z900" s="292"/>
    </row>
    <row r="901" ht="15.75" customHeight="1">
      <c r="A901" s="292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  <c r="V901" s="292"/>
      <c r="W901" s="292"/>
      <c r="X901" s="292"/>
      <c r="Y901" s="292"/>
      <c r="Z901" s="292"/>
    </row>
    <row r="902" ht="15.75" customHeight="1">
      <c r="A902" s="292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  <c r="V902" s="292"/>
      <c r="W902" s="292"/>
      <c r="X902" s="292"/>
      <c r="Y902" s="292"/>
      <c r="Z902" s="292"/>
    </row>
    <row r="903" ht="15.75" customHeight="1">
      <c r="A903" s="292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  <c r="V903" s="292"/>
      <c r="W903" s="292"/>
      <c r="X903" s="292"/>
      <c r="Y903" s="292"/>
      <c r="Z903" s="292"/>
    </row>
    <row r="904" ht="15.75" customHeight="1">
      <c r="A904" s="292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  <c r="V904" s="292"/>
      <c r="W904" s="292"/>
      <c r="X904" s="292"/>
      <c r="Y904" s="292"/>
      <c r="Z904" s="292"/>
    </row>
    <row r="905" ht="15.75" customHeight="1">
      <c r="A905" s="292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  <c r="V905" s="292"/>
      <c r="W905" s="292"/>
      <c r="X905" s="292"/>
      <c r="Y905" s="292"/>
      <c r="Z905" s="292"/>
    </row>
    <row r="906" ht="15.75" customHeight="1">
      <c r="A906" s="292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  <c r="V906" s="292"/>
      <c r="W906" s="292"/>
      <c r="X906" s="292"/>
      <c r="Y906" s="292"/>
      <c r="Z906" s="292"/>
    </row>
    <row r="907" ht="15.75" customHeight="1">
      <c r="A907" s="292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  <c r="V907" s="292"/>
      <c r="W907" s="292"/>
      <c r="X907" s="292"/>
      <c r="Y907" s="292"/>
      <c r="Z907" s="292"/>
    </row>
    <row r="908" ht="15.75" customHeight="1">
      <c r="A908" s="292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  <c r="V908" s="292"/>
      <c r="W908" s="292"/>
      <c r="X908" s="292"/>
      <c r="Y908" s="292"/>
      <c r="Z908" s="292"/>
    </row>
    <row r="909" ht="15.75" customHeight="1">
      <c r="A909" s="292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  <c r="V909" s="292"/>
      <c r="W909" s="292"/>
      <c r="X909" s="292"/>
      <c r="Y909" s="292"/>
      <c r="Z909" s="292"/>
    </row>
    <row r="910" ht="15.75" customHeight="1">
      <c r="A910" s="292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  <c r="V910" s="292"/>
      <c r="W910" s="292"/>
      <c r="X910" s="292"/>
      <c r="Y910" s="292"/>
      <c r="Z910" s="292"/>
    </row>
    <row r="911" ht="15.75" customHeight="1">
      <c r="A911" s="292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  <c r="V911" s="292"/>
      <c r="W911" s="292"/>
      <c r="X911" s="292"/>
      <c r="Y911" s="292"/>
      <c r="Z911" s="292"/>
    </row>
    <row r="912" ht="15.75" customHeight="1">
      <c r="A912" s="292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  <c r="V912" s="292"/>
      <c r="W912" s="292"/>
      <c r="X912" s="292"/>
      <c r="Y912" s="292"/>
      <c r="Z912" s="292"/>
    </row>
    <row r="913" ht="15.75" customHeight="1">
      <c r="A913" s="292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  <c r="V913" s="292"/>
      <c r="W913" s="292"/>
      <c r="X913" s="292"/>
      <c r="Y913" s="292"/>
      <c r="Z913" s="292"/>
    </row>
    <row r="914" ht="15.75" customHeight="1">
      <c r="A914" s="292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  <c r="V914" s="292"/>
      <c r="W914" s="292"/>
      <c r="X914" s="292"/>
      <c r="Y914" s="292"/>
      <c r="Z914" s="292"/>
    </row>
    <row r="915" ht="15.75" customHeight="1">
      <c r="A915" s="292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  <c r="V915" s="292"/>
      <c r="W915" s="292"/>
      <c r="X915" s="292"/>
      <c r="Y915" s="292"/>
      <c r="Z915" s="292"/>
    </row>
    <row r="916" ht="15.75" customHeight="1">
      <c r="A916" s="292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  <c r="V916" s="292"/>
      <c r="W916" s="292"/>
      <c r="X916" s="292"/>
      <c r="Y916" s="292"/>
      <c r="Z916" s="292"/>
    </row>
    <row r="917" ht="15.75" customHeight="1">
      <c r="A917" s="292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  <c r="V917" s="292"/>
      <c r="W917" s="292"/>
      <c r="X917" s="292"/>
      <c r="Y917" s="292"/>
      <c r="Z917" s="292"/>
    </row>
    <row r="918" ht="15.75" customHeight="1">
      <c r="A918" s="292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  <c r="V918" s="292"/>
      <c r="W918" s="292"/>
      <c r="X918" s="292"/>
      <c r="Y918" s="292"/>
      <c r="Z918" s="292"/>
    </row>
    <row r="919" ht="15.75" customHeight="1">
      <c r="A919" s="292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  <c r="V919" s="292"/>
      <c r="W919" s="292"/>
      <c r="X919" s="292"/>
      <c r="Y919" s="292"/>
      <c r="Z919" s="292"/>
    </row>
    <row r="920" ht="15.75" customHeight="1">
      <c r="A920" s="292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  <c r="V920" s="292"/>
      <c r="W920" s="292"/>
      <c r="X920" s="292"/>
      <c r="Y920" s="292"/>
      <c r="Z920" s="292"/>
    </row>
    <row r="921" ht="15.75" customHeight="1">
      <c r="A921" s="292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  <c r="V921" s="292"/>
      <c r="W921" s="292"/>
      <c r="X921" s="292"/>
      <c r="Y921" s="292"/>
      <c r="Z921" s="292"/>
    </row>
    <row r="922" ht="15.75" customHeight="1">
      <c r="A922" s="292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  <c r="V922" s="292"/>
      <c r="W922" s="292"/>
      <c r="X922" s="292"/>
      <c r="Y922" s="292"/>
      <c r="Z922" s="292"/>
    </row>
    <row r="923" ht="15.75" customHeight="1">
      <c r="A923" s="292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  <c r="V923" s="292"/>
      <c r="W923" s="292"/>
      <c r="X923" s="292"/>
      <c r="Y923" s="292"/>
      <c r="Z923" s="292"/>
    </row>
    <row r="924" ht="15.75" customHeight="1">
      <c r="A924" s="292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  <c r="V924" s="292"/>
      <c r="W924" s="292"/>
      <c r="X924" s="292"/>
      <c r="Y924" s="292"/>
      <c r="Z924" s="292"/>
    </row>
    <row r="925" ht="15.75" customHeight="1">
      <c r="A925" s="292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  <c r="V925" s="292"/>
      <c r="W925" s="292"/>
      <c r="X925" s="292"/>
      <c r="Y925" s="292"/>
      <c r="Z925" s="292"/>
    </row>
    <row r="926" ht="15.75" customHeight="1">
      <c r="A926" s="292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  <c r="V926" s="292"/>
      <c r="W926" s="292"/>
      <c r="X926" s="292"/>
      <c r="Y926" s="292"/>
      <c r="Z926" s="292"/>
    </row>
    <row r="927" ht="15.75" customHeight="1">
      <c r="A927" s="292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  <c r="V927" s="292"/>
      <c r="W927" s="292"/>
      <c r="X927" s="292"/>
      <c r="Y927" s="292"/>
      <c r="Z927" s="292"/>
    </row>
    <row r="928" ht="15.75" customHeight="1">
      <c r="A928" s="292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  <c r="V928" s="292"/>
      <c r="W928" s="292"/>
      <c r="X928" s="292"/>
      <c r="Y928" s="292"/>
      <c r="Z928" s="292"/>
    </row>
    <row r="929" ht="15.75" customHeight="1">
      <c r="A929" s="292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  <c r="V929" s="292"/>
      <c r="W929" s="292"/>
      <c r="X929" s="292"/>
      <c r="Y929" s="292"/>
      <c r="Z929" s="292"/>
    </row>
    <row r="930" ht="15.75" customHeight="1">
      <c r="A930" s="292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  <c r="V930" s="292"/>
      <c r="W930" s="292"/>
      <c r="X930" s="292"/>
      <c r="Y930" s="292"/>
      <c r="Z930" s="292"/>
    </row>
    <row r="931" ht="15.75" customHeight="1">
      <c r="A931" s="292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  <c r="V931" s="292"/>
      <c r="W931" s="292"/>
      <c r="X931" s="292"/>
      <c r="Y931" s="292"/>
      <c r="Z931" s="292"/>
    </row>
    <row r="932" ht="15.75" customHeight="1">
      <c r="A932" s="292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  <c r="V932" s="292"/>
      <c r="W932" s="292"/>
      <c r="X932" s="292"/>
      <c r="Y932" s="292"/>
      <c r="Z932" s="292"/>
    </row>
    <row r="933" ht="15.75" customHeight="1">
      <c r="A933" s="292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  <c r="V933" s="292"/>
      <c r="W933" s="292"/>
      <c r="X933" s="292"/>
      <c r="Y933" s="292"/>
      <c r="Z933" s="292"/>
    </row>
    <row r="934" ht="15.75" customHeight="1">
      <c r="A934" s="292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  <c r="V934" s="292"/>
      <c r="W934" s="292"/>
      <c r="X934" s="292"/>
      <c r="Y934" s="292"/>
      <c r="Z934" s="292"/>
    </row>
    <row r="935" ht="15.75" customHeight="1">
      <c r="A935" s="292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  <c r="V935" s="292"/>
      <c r="W935" s="292"/>
      <c r="X935" s="292"/>
      <c r="Y935" s="292"/>
      <c r="Z935" s="292"/>
    </row>
    <row r="936" ht="15.75" customHeight="1">
      <c r="A936" s="292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  <c r="V936" s="292"/>
      <c r="W936" s="292"/>
      <c r="X936" s="292"/>
      <c r="Y936" s="292"/>
      <c r="Z936" s="292"/>
    </row>
    <row r="937" ht="15.75" customHeight="1">
      <c r="A937" s="292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  <c r="V937" s="292"/>
      <c r="W937" s="292"/>
      <c r="X937" s="292"/>
      <c r="Y937" s="292"/>
      <c r="Z937" s="292"/>
    </row>
    <row r="938" ht="15.75" customHeight="1">
      <c r="A938" s="292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  <c r="R938" s="292"/>
      <c r="S938" s="292"/>
      <c r="T938" s="292"/>
      <c r="U938" s="292"/>
      <c r="V938" s="292"/>
      <c r="W938" s="292"/>
      <c r="X938" s="292"/>
      <c r="Y938" s="292"/>
      <c r="Z938" s="292"/>
    </row>
    <row r="939" ht="15.75" customHeight="1">
      <c r="A939" s="292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  <c r="R939" s="292"/>
      <c r="S939" s="292"/>
      <c r="T939" s="292"/>
      <c r="U939" s="292"/>
      <c r="V939" s="292"/>
      <c r="W939" s="292"/>
      <c r="X939" s="292"/>
      <c r="Y939" s="292"/>
      <c r="Z939" s="292"/>
    </row>
    <row r="940" ht="15.75" customHeight="1">
      <c r="A940" s="292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  <c r="R940" s="292"/>
      <c r="S940" s="292"/>
      <c r="T940" s="292"/>
      <c r="U940" s="292"/>
      <c r="V940" s="292"/>
      <c r="W940" s="292"/>
      <c r="X940" s="292"/>
      <c r="Y940" s="292"/>
      <c r="Z940" s="292"/>
    </row>
    <row r="941" ht="15.75" customHeight="1">
      <c r="A941" s="292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  <c r="R941" s="292"/>
      <c r="S941" s="292"/>
      <c r="T941" s="292"/>
      <c r="U941" s="292"/>
      <c r="V941" s="292"/>
      <c r="W941" s="292"/>
      <c r="X941" s="292"/>
      <c r="Y941" s="292"/>
      <c r="Z941" s="292"/>
    </row>
    <row r="942" ht="15.75" customHeight="1">
      <c r="A942" s="292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  <c r="R942" s="292"/>
      <c r="S942" s="292"/>
      <c r="T942" s="292"/>
      <c r="U942" s="292"/>
      <c r="V942" s="292"/>
      <c r="W942" s="292"/>
      <c r="X942" s="292"/>
      <c r="Y942" s="292"/>
      <c r="Z942" s="292"/>
    </row>
    <row r="943" ht="15.75" customHeight="1">
      <c r="A943" s="292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  <c r="R943" s="292"/>
      <c r="S943" s="292"/>
      <c r="T943" s="292"/>
      <c r="U943" s="292"/>
      <c r="V943" s="292"/>
      <c r="W943" s="292"/>
      <c r="X943" s="292"/>
      <c r="Y943" s="292"/>
      <c r="Z943" s="292"/>
    </row>
    <row r="944" ht="15.75" customHeight="1">
      <c r="A944" s="292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  <c r="R944" s="292"/>
      <c r="S944" s="292"/>
      <c r="T944" s="292"/>
      <c r="U944" s="292"/>
      <c r="V944" s="292"/>
      <c r="W944" s="292"/>
      <c r="X944" s="292"/>
      <c r="Y944" s="292"/>
      <c r="Z944" s="292"/>
    </row>
    <row r="945" ht="15.75" customHeight="1">
      <c r="A945" s="292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  <c r="R945" s="292"/>
      <c r="S945" s="292"/>
      <c r="T945" s="292"/>
      <c r="U945" s="292"/>
      <c r="V945" s="292"/>
      <c r="W945" s="292"/>
      <c r="X945" s="292"/>
      <c r="Y945" s="292"/>
      <c r="Z945" s="292"/>
    </row>
    <row r="946" ht="15.75" customHeight="1">
      <c r="A946" s="292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  <c r="R946" s="292"/>
      <c r="S946" s="292"/>
      <c r="T946" s="292"/>
      <c r="U946" s="292"/>
      <c r="V946" s="292"/>
      <c r="W946" s="292"/>
      <c r="X946" s="292"/>
      <c r="Y946" s="292"/>
      <c r="Z946" s="292"/>
    </row>
    <row r="947" ht="15.75" customHeight="1">
      <c r="A947" s="292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  <c r="R947" s="292"/>
      <c r="S947" s="292"/>
      <c r="T947" s="292"/>
      <c r="U947" s="292"/>
      <c r="V947" s="292"/>
      <c r="W947" s="292"/>
      <c r="X947" s="292"/>
      <c r="Y947" s="292"/>
      <c r="Z947" s="292"/>
    </row>
    <row r="948" ht="15.75" customHeight="1">
      <c r="A948" s="292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  <c r="R948" s="292"/>
      <c r="S948" s="292"/>
      <c r="T948" s="292"/>
      <c r="U948" s="292"/>
      <c r="V948" s="292"/>
      <c r="W948" s="292"/>
      <c r="X948" s="292"/>
      <c r="Y948" s="292"/>
      <c r="Z948" s="292"/>
    </row>
    <row r="949" ht="15.75" customHeight="1">
      <c r="A949" s="292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  <c r="R949" s="292"/>
      <c r="S949" s="292"/>
      <c r="T949" s="292"/>
      <c r="U949" s="292"/>
      <c r="V949" s="292"/>
      <c r="W949" s="292"/>
      <c r="X949" s="292"/>
      <c r="Y949" s="292"/>
      <c r="Z949" s="292"/>
    </row>
    <row r="950" ht="15.75" customHeight="1">
      <c r="A950" s="292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  <c r="R950" s="292"/>
      <c r="S950" s="292"/>
      <c r="T950" s="292"/>
      <c r="U950" s="292"/>
      <c r="V950" s="292"/>
      <c r="W950" s="292"/>
      <c r="X950" s="292"/>
      <c r="Y950" s="292"/>
      <c r="Z950" s="292"/>
    </row>
    <row r="951" ht="15.75" customHeight="1">
      <c r="A951" s="292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  <c r="R951" s="292"/>
      <c r="S951" s="292"/>
      <c r="T951" s="292"/>
      <c r="U951" s="292"/>
      <c r="V951" s="292"/>
      <c r="W951" s="292"/>
      <c r="X951" s="292"/>
      <c r="Y951" s="292"/>
      <c r="Z951" s="292"/>
    </row>
    <row r="952" ht="15.75" customHeight="1">
      <c r="A952" s="292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  <c r="R952" s="292"/>
      <c r="S952" s="292"/>
      <c r="T952" s="292"/>
      <c r="U952" s="292"/>
      <c r="V952" s="292"/>
      <c r="W952" s="292"/>
      <c r="X952" s="292"/>
      <c r="Y952" s="292"/>
      <c r="Z952" s="292"/>
    </row>
    <row r="953" ht="15.75" customHeight="1">
      <c r="A953" s="292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  <c r="R953" s="292"/>
      <c r="S953" s="292"/>
      <c r="T953" s="292"/>
      <c r="U953" s="292"/>
      <c r="V953" s="292"/>
      <c r="W953" s="292"/>
      <c r="X953" s="292"/>
      <c r="Y953" s="292"/>
      <c r="Z953" s="292"/>
    </row>
    <row r="954" ht="15.75" customHeight="1">
      <c r="A954" s="292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  <c r="R954" s="292"/>
      <c r="S954" s="292"/>
      <c r="T954" s="292"/>
      <c r="U954" s="292"/>
      <c r="V954" s="292"/>
      <c r="W954" s="292"/>
      <c r="X954" s="292"/>
      <c r="Y954" s="292"/>
      <c r="Z954" s="292"/>
    </row>
    <row r="955" ht="15.75" customHeight="1">
      <c r="A955" s="292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  <c r="R955" s="292"/>
      <c r="S955" s="292"/>
      <c r="T955" s="292"/>
      <c r="U955" s="292"/>
      <c r="V955" s="292"/>
      <c r="W955" s="292"/>
      <c r="X955" s="292"/>
      <c r="Y955" s="292"/>
      <c r="Z955" s="292"/>
    </row>
    <row r="956" ht="15.75" customHeight="1">
      <c r="A956" s="292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  <c r="X956" s="292"/>
      <c r="Y956" s="292"/>
      <c r="Z956" s="292"/>
    </row>
    <row r="957" ht="15.75" customHeight="1">
      <c r="A957" s="292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  <c r="R957" s="292"/>
      <c r="S957" s="292"/>
      <c r="T957" s="292"/>
      <c r="U957" s="292"/>
      <c r="V957" s="292"/>
      <c r="W957" s="292"/>
      <c r="X957" s="292"/>
      <c r="Y957" s="292"/>
      <c r="Z957" s="292"/>
    </row>
    <row r="958" ht="15.75" customHeight="1">
      <c r="A958" s="292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  <c r="R958" s="292"/>
      <c r="S958" s="292"/>
      <c r="T958" s="292"/>
      <c r="U958" s="292"/>
      <c r="V958" s="292"/>
      <c r="W958" s="292"/>
      <c r="X958" s="292"/>
      <c r="Y958" s="292"/>
      <c r="Z958" s="292"/>
    </row>
    <row r="959" ht="15.75" customHeight="1">
      <c r="A959" s="292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  <c r="R959" s="292"/>
      <c r="S959" s="292"/>
      <c r="T959" s="292"/>
      <c r="U959" s="292"/>
      <c r="V959" s="292"/>
      <c r="W959" s="292"/>
      <c r="X959" s="292"/>
      <c r="Y959" s="292"/>
      <c r="Z959" s="292"/>
    </row>
    <row r="960" ht="15.75" customHeight="1">
      <c r="A960" s="292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  <c r="R960" s="292"/>
      <c r="S960" s="292"/>
      <c r="T960" s="292"/>
      <c r="U960" s="292"/>
      <c r="V960" s="292"/>
      <c r="W960" s="292"/>
      <c r="X960" s="292"/>
      <c r="Y960" s="292"/>
      <c r="Z960" s="292"/>
    </row>
    <row r="961" ht="15.75" customHeight="1">
      <c r="A961" s="292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  <c r="R961" s="292"/>
      <c r="S961" s="292"/>
      <c r="T961" s="292"/>
      <c r="U961" s="292"/>
      <c r="V961" s="292"/>
      <c r="W961" s="292"/>
      <c r="X961" s="292"/>
      <c r="Y961" s="292"/>
      <c r="Z961" s="292"/>
    </row>
    <row r="962" ht="15.75" customHeight="1">
      <c r="A962" s="292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  <c r="X962" s="292"/>
      <c r="Y962" s="292"/>
      <c r="Z962" s="292"/>
    </row>
    <row r="963" ht="15.75" customHeight="1">
      <c r="A963" s="292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  <c r="X963" s="292"/>
      <c r="Y963" s="292"/>
      <c r="Z963" s="292"/>
    </row>
    <row r="964" ht="15.75" customHeight="1">
      <c r="A964" s="292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  <c r="X964" s="292"/>
      <c r="Y964" s="292"/>
      <c r="Z964" s="292"/>
    </row>
    <row r="965" ht="15.75" customHeight="1">
      <c r="A965" s="292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  <c r="R965" s="292"/>
      <c r="S965" s="292"/>
      <c r="T965" s="292"/>
      <c r="U965" s="292"/>
      <c r="V965" s="292"/>
      <c r="W965" s="292"/>
      <c r="X965" s="292"/>
      <c r="Y965" s="292"/>
      <c r="Z965" s="292"/>
    </row>
    <row r="966" ht="15.75" customHeight="1">
      <c r="A966" s="292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  <c r="R966" s="292"/>
      <c r="S966" s="292"/>
      <c r="T966" s="292"/>
      <c r="U966" s="292"/>
      <c r="V966" s="292"/>
      <c r="W966" s="292"/>
      <c r="X966" s="292"/>
      <c r="Y966" s="292"/>
      <c r="Z966" s="292"/>
    </row>
    <row r="967" ht="15.75" customHeight="1">
      <c r="A967" s="292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2"/>
      <c r="V967" s="292"/>
      <c r="W967" s="292"/>
      <c r="X967" s="292"/>
      <c r="Y967" s="292"/>
      <c r="Z967" s="292"/>
    </row>
    <row r="968" ht="15.75" customHeight="1">
      <c r="A968" s="292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  <c r="R968" s="292"/>
      <c r="S968" s="292"/>
      <c r="T968" s="292"/>
      <c r="U968" s="292"/>
      <c r="V968" s="292"/>
      <c r="W968" s="292"/>
      <c r="X968" s="292"/>
      <c r="Y968" s="292"/>
      <c r="Z968" s="292"/>
    </row>
    <row r="969" ht="15.75" customHeight="1">
      <c r="A969" s="292"/>
      <c r="B969" s="292"/>
      <c r="C969" s="292"/>
      <c r="D969" s="292"/>
      <c r="E969" s="292"/>
      <c r="F969" s="292"/>
      <c r="G969" s="292"/>
      <c r="H969" s="292"/>
      <c r="I969" s="292"/>
      <c r="J969" s="292"/>
      <c r="K969" s="292"/>
      <c r="L969" s="292"/>
      <c r="M969" s="292"/>
      <c r="N969" s="292"/>
      <c r="O969" s="292"/>
      <c r="P969" s="292"/>
      <c r="Q969" s="292"/>
      <c r="R969" s="292"/>
      <c r="S969" s="292"/>
      <c r="T969" s="292"/>
      <c r="U969" s="292"/>
      <c r="V969" s="292"/>
      <c r="W969" s="292"/>
      <c r="X969" s="292"/>
      <c r="Y969" s="292"/>
      <c r="Z969" s="292"/>
    </row>
    <row r="970" ht="15.75" customHeight="1">
      <c r="A970" s="292"/>
      <c r="B970" s="292"/>
      <c r="C970" s="292"/>
      <c r="D970" s="292"/>
      <c r="E970" s="292"/>
      <c r="F970" s="292"/>
      <c r="G970" s="292"/>
      <c r="H970" s="292"/>
      <c r="I970" s="292"/>
      <c r="J970" s="292"/>
      <c r="K970" s="292"/>
      <c r="L970" s="292"/>
      <c r="M970" s="292"/>
      <c r="N970" s="292"/>
      <c r="O970" s="292"/>
      <c r="P970" s="292"/>
      <c r="Q970" s="292"/>
      <c r="R970" s="292"/>
      <c r="S970" s="292"/>
      <c r="T970" s="292"/>
      <c r="U970" s="292"/>
      <c r="V970" s="292"/>
      <c r="W970" s="292"/>
      <c r="X970" s="292"/>
      <c r="Y970" s="292"/>
      <c r="Z970" s="292"/>
    </row>
    <row r="971" ht="15.75" customHeight="1">
      <c r="A971" s="292"/>
      <c r="B971" s="292"/>
      <c r="C971" s="292"/>
      <c r="D971" s="292"/>
      <c r="E971" s="292"/>
      <c r="F971" s="292"/>
      <c r="G971" s="292"/>
      <c r="H971" s="292"/>
      <c r="I971" s="292"/>
      <c r="J971" s="292"/>
      <c r="K971" s="292"/>
      <c r="L971" s="292"/>
      <c r="M971" s="292"/>
      <c r="N971" s="292"/>
      <c r="O971" s="292"/>
      <c r="P971" s="292"/>
      <c r="Q971" s="292"/>
      <c r="R971" s="292"/>
      <c r="S971" s="292"/>
      <c r="T971" s="292"/>
      <c r="U971" s="292"/>
      <c r="V971" s="292"/>
      <c r="W971" s="292"/>
      <c r="X971" s="292"/>
      <c r="Y971" s="292"/>
      <c r="Z971" s="292"/>
    </row>
    <row r="972" ht="15.75" customHeight="1">
      <c r="A972" s="292"/>
      <c r="B972" s="292"/>
      <c r="C972" s="292"/>
      <c r="D972" s="292"/>
      <c r="E972" s="292"/>
      <c r="F972" s="292"/>
      <c r="G972" s="292"/>
      <c r="H972" s="292"/>
      <c r="I972" s="292"/>
      <c r="J972" s="292"/>
      <c r="K972" s="292"/>
      <c r="L972" s="292"/>
      <c r="M972" s="292"/>
      <c r="N972" s="292"/>
      <c r="O972" s="292"/>
      <c r="P972" s="292"/>
      <c r="Q972" s="292"/>
      <c r="R972" s="292"/>
      <c r="S972" s="292"/>
      <c r="T972" s="292"/>
      <c r="U972" s="292"/>
      <c r="V972" s="292"/>
      <c r="W972" s="292"/>
      <c r="X972" s="292"/>
      <c r="Y972" s="292"/>
      <c r="Z972" s="292"/>
    </row>
    <row r="973" ht="15.75" customHeight="1">
      <c r="A973" s="292"/>
      <c r="B973" s="292"/>
      <c r="C973" s="292"/>
      <c r="D973" s="292"/>
      <c r="E973" s="292"/>
      <c r="F973" s="292"/>
      <c r="G973" s="292"/>
      <c r="H973" s="292"/>
      <c r="I973" s="292"/>
      <c r="J973" s="292"/>
      <c r="K973" s="292"/>
      <c r="L973" s="292"/>
      <c r="M973" s="292"/>
      <c r="N973" s="292"/>
      <c r="O973" s="292"/>
      <c r="P973" s="292"/>
      <c r="Q973" s="292"/>
      <c r="R973" s="292"/>
      <c r="S973" s="292"/>
      <c r="T973" s="292"/>
      <c r="U973" s="292"/>
      <c r="V973" s="292"/>
      <c r="W973" s="292"/>
      <c r="X973" s="292"/>
      <c r="Y973" s="292"/>
      <c r="Z973" s="292"/>
    </row>
    <row r="974" ht="15.75" customHeight="1">
      <c r="A974" s="292"/>
      <c r="B974" s="292"/>
      <c r="C974" s="292"/>
      <c r="D974" s="292"/>
      <c r="E974" s="292"/>
      <c r="F974" s="292"/>
      <c r="G974" s="292"/>
      <c r="H974" s="292"/>
      <c r="I974" s="292"/>
      <c r="J974" s="292"/>
      <c r="K974" s="292"/>
      <c r="L974" s="292"/>
      <c r="M974" s="292"/>
      <c r="N974" s="292"/>
      <c r="O974" s="292"/>
      <c r="P974" s="292"/>
      <c r="Q974" s="292"/>
      <c r="R974" s="292"/>
      <c r="S974" s="292"/>
      <c r="T974" s="292"/>
      <c r="U974" s="292"/>
      <c r="V974" s="292"/>
      <c r="W974" s="292"/>
      <c r="X974" s="292"/>
      <c r="Y974" s="292"/>
      <c r="Z974" s="292"/>
    </row>
    <row r="975" ht="15.75" customHeight="1">
      <c r="A975" s="292"/>
      <c r="B975" s="292"/>
      <c r="C975" s="292"/>
      <c r="D975" s="292"/>
      <c r="E975" s="292"/>
      <c r="F975" s="292"/>
      <c r="G975" s="292"/>
      <c r="H975" s="292"/>
      <c r="I975" s="292"/>
      <c r="J975" s="292"/>
      <c r="K975" s="292"/>
      <c r="L975" s="292"/>
      <c r="M975" s="292"/>
      <c r="N975" s="292"/>
      <c r="O975" s="292"/>
      <c r="P975" s="292"/>
      <c r="Q975" s="292"/>
      <c r="R975" s="292"/>
      <c r="S975" s="292"/>
      <c r="T975" s="292"/>
      <c r="U975" s="292"/>
      <c r="V975" s="292"/>
      <c r="W975" s="292"/>
      <c r="X975" s="292"/>
      <c r="Y975" s="292"/>
      <c r="Z975" s="292"/>
    </row>
    <row r="976" ht="15.75" customHeight="1">
      <c r="A976" s="292"/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  <c r="R976" s="292"/>
      <c r="S976" s="292"/>
      <c r="T976" s="292"/>
      <c r="U976" s="292"/>
      <c r="V976" s="292"/>
      <c r="W976" s="292"/>
      <c r="X976" s="292"/>
      <c r="Y976" s="292"/>
      <c r="Z976" s="292"/>
    </row>
    <row r="977" ht="15.75" customHeight="1">
      <c r="A977" s="292"/>
      <c r="B977" s="292"/>
      <c r="C977" s="292"/>
      <c r="D977" s="292"/>
      <c r="E977" s="292"/>
      <c r="F977" s="292"/>
      <c r="G977" s="292"/>
      <c r="H977" s="292"/>
      <c r="I977" s="292"/>
      <c r="J977" s="292"/>
      <c r="K977" s="292"/>
      <c r="L977" s="292"/>
      <c r="M977" s="292"/>
      <c r="N977" s="292"/>
      <c r="O977" s="292"/>
      <c r="P977" s="292"/>
      <c r="Q977" s="292"/>
      <c r="R977" s="292"/>
      <c r="S977" s="292"/>
      <c r="T977" s="292"/>
      <c r="U977" s="292"/>
      <c r="V977" s="292"/>
      <c r="W977" s="292"/>
      <c r="X977" s="292"/>
      <c r="Y977" s="292"/>
      <c r="Z977" s="292"/>
    </row>
    <row r="978" ht="15.75" customHeight="1">
      <c r="A978" s="292"/>
      <c r="B978" s="292"/>
      <c r="C978" s="292"/>
      <c r="D978" s="292"/>
      <c r="E978" s="292"/>
      <c r="F978" s="292"/>
      <c r="G978" s="292"/>
      <c r="H978" s="292"/>
      <c r="I978" s="292"/>
      <c r="J978" s="292"/>
      <c r="K978" s="292"/>
      <c r="L978" s="292"/>
      <c r="M978" s="292"/>
      <c r="N978" s="292"/>
      <c r="O978" s="292"/>
      <c r="P978" s="292"/>
      <c r="Q978" s="292"/>
      <c r="R978" s="292"/>
      <c r="S978" s="292"/>
      <c r="T978" s="292"/>
      <c r="U978" s="292"/>
      <c r="V978" s="292"/>
      <c r="W978" s="292"/>
      <c r="X978" s="292"/>
      <c r="Y978" s="292"/>
      <c r="Z978" s="292"/>
    </row>
    <row r="979" ht="15.75" customHeight="1">
      <c r="A979" s="292"/>
      <c r="B979" s="292"/>
      <c r="C979" s="292"/>
      <c r="D979" s="292"/>
      <c r="E979" s="292"/>
      <c r="F979" s="292"/>
      <c r="G979" s="292"/>
      <c r="H979" s="292"/>
      <c r="I979" s="292"/>
      <c r="J979" s="292"/>
      <c r="K979" s="292"/>
      <c r="L979" s="292"/>
      <c r="M979" s="292"/>
      <c r="N979" s="292"/>
      <c r="O979" s="292"/>
      <c r="P979" s="292"/>
      <c r="Q979" s="292"/>
      <c r="R979" s="292"/>
      <c r="S979" s="292"/>
      <c r="T979" s="292"/>
      <c r="U979" s="292"/>
      <c r="V979" s="292"/>
      <c r="W979" s="292"/>
      <c r="X979" s="292"/>
      <c r="Y979" s="292"/>
      <c r="Z979" s="292"/>
    </row>
    <row r="980" ht="15.75" customHeight="1">
      <c r="A980" s="292"/>
      <c r="B980" s="292"/>
      <c r="C980" s="292"/>
      <c r="D980" s="292"/>
      <c r="E980" s="292"/>
      <c r="F980" s="292"/>
      <c r="G980" s="292"/>
      <c r="H980" s="292"/>
      <c r="I980" s="292"/>
      <c r="J980" s="292"/>
      <c r="K980" s="292"/>
      <c r="L980" s="292"/>
      <c r="M980" s="292"/>
      <c r="N980" s="292"/>
      <c r="O980" s="292"/>
      <c r="P980" s="292"/>
      <c r="Q980" s="292"/>
      <c r="R980" s="292"/>
      <c r="S980" s="292"/>
      <c r="T980" s="292"/>
      <c r="U980" s="292"/>
      <c r="V980" s="292"/>
      <c r="W980" s="292"/>
      <c r="X980" s="292"/>
      <c r="Y980" s="292"/>
      <c r="Z980" s="292"/>
    </row>
    <row r="981" ht="15.75" customHeight="1">
      <c r="A981" s="292"/>
      <c r="B981" s="292"/>
      <c r="C981" s="292"/>
      <c r="D981" s="292"/>
      <c r="E981" s="292"/>
      <c r="F981" s="292"/>
      <c r="G981" s="292"/>
      <c r="H981" s="292"/>
      <c r="I981" s="292"/>
      <c r="J981" s="292"/>
      <c r="K981" s="292"/>
      <c r="L981" s="292"/>
      <c r="M981" s="292"/>
      <c r="N981" s="292"/>
      <c r="O981" s="292"/>
      <c r="P981" s="292"/>
      <c r="Q981" s="292"/>
      <c r="R981" s="292"/>
      <c r="S981" s="292"/>
      <c r="T981" s="292"/>
      <c r="U981" s="292"/>
      <c r="V981" s="292"/>
      <c r="W981" s="292"/>
      <c r="X981" s="292"/>
      <c r="Y981" s="292"/>
      <c r="Z981" s="292"/>
    </row>
    <row r="982" ht="15.75" customHeight="1">
      <c r="A982" s="292"/>
      <c r="B982" s="292"/>
      <c r="C982" s="292"/>
      <c r="D982" s="292"/>
      <c r="E982" s="292"/>
      <c r="F982" s="292"/>
      <c r="G982" s="292"/>
      <c r="H982" s="292"/>
      <c r="I982" s="292"/>
      <c r="J982" s="292"/>
      <c r="K982" s="292"/>
      <c r="L982" s="292"/>
      <c r="M982" s="292"/>
      <c r="N982" s="292"/>
      <c r="O982" s="292"/>
      <c r="P982" s="292"/>
      <c r="Q982" s="292"/>
      <c r="R982" s="292"/>
      <c r="S982" s="292"/>
      <c r="T982" s="292"/>
      <c r="U982" s="292"/>
      <c r="V982" s="292"/>
      <c r="W982" s="292"/>
      <c r="X982" s="292"/>
      <c r="Y982" s="292"/>
      <c r="Z982" s="292"/>
    </row>
    <row r="983" ht="15.75" customHeight="1">
      <c r="A983" s="292"/>
      <c r="B983" s="292"/>
      <c r="C983" s="292"/>
      <c r="D983" s="292"/>
      <c r="E983" s="292"/>
      <c r="F983" s="292"/>
      <c r="G983" s="292"/>
      <c r="H983" s="292"/>
      <c r="I983" s="292"/>
      <c r="J983" s="292"/>
      <c r="K983" s="292"/>
      <c r="L983" s="292"/>
      <c r="M983" s="292"/>
      <c r="N983" s="292"/>
      <c r="O983" s="292"/>
      <c r="P983" s="292"/>
      <c r="Q983" s="292"/>
      <c r="R983" s="292"/>
      <c r="S983" s="292"/>
      <c r="T983" s="292"/>
      <c r="U983" s="292"/>
      <c r="V983" s="292"/>
      <c r="W983" s="292"/>
      <c r="X983" s="292"/>
      <c r="Y983" s="292"/>
      <c r="Z983" s="292"/>
    </row>
    <row r="984" ht="15.75" customHeight="1">
      <c r="A984" s="292"/>
      <c r="B984" s="292"/>
      <c r="C984" s="292"/>
      <c r="D984" s="292"/>
      <c r="E984" s="292"/>
      <c r="F984" s="292"/>
      <c r="G984" s="292"/>
      <c r="H984" s="292"/>
      <c r="I984" s="292"/>
      <c r="J984" s="292"/>
      <c r="K984" s="292"/>
      <c r="L984" s="292"/>
      <c r="M984" s="292"/>
      <c r="N984" s="292"/>
      <c r="O984" s="292"/>
      <c r="P984" s="292"/>
      <c r="Q984" s="292"/>
      <c r="R984" s="292"/>
      <c r="S984" s="292"/>
      <c r="T984" s="292"/>
      <c r="U984" s="292"/>
      <c r="V984" s="292"/>
      <c r="W984" s="292"/>
      <c r="X984" s="292"/>
      <c r="Y984" s="292"/>
      <c r="Z984" s="292"/>
    </row>
    <row r="985" ht="15.75" customHeight="1">
      <c r="A985" s="292"/>
      <c r="B985" s="292"/>
      <c r="C985" s="292"/>
      <c r="D985" s="292"/>
      <c r="E985" s="292"/>
      <c r="F985" s="292"/>
      <c r="G985" s="292"/>
      <c r="H985" s="292"/>
      <c r="I985" s="292"/>
      <c r="J985" s="292"/>
      <c r="K985" s="292"/>
      <c r="L985" s="292"/>
      <c r="M985" s="292"/>
      <c r="N985" s="292"/>
      <c r="O985" s="292"/>
      <c r="P985" s="292"/>
      <c r="Q985" s="292"/>
      <c r="R985" s="292"/>
      <c r="S985" s="292"/>
      <c r="T985" s="292"/>
      <c r="U985" s="292"/>
      <c r="V985" s="292"/>
      <c r="W985" s="292"/>
      <c r="X985" s="292"/>
      <c r="Y985" s="292"/>
      <c r="Z985" s="292"/>
    </row>
    <row r="986" ht="15.75" customHeight="1">
      <c r="A986" s="292"/>
      <c r="B986" s="292"/>
      <c r="C986" s="292"/>
      <c r="D986" s="292"/>
      <c r="E986" s="292"/>
      <c r="F986" s="292"/>
      <c r="G986" s="292"/>
      <c r="H986" s="292"/>
      <c r="I986" s="292"/>
      <c r="J986" s="292"/>
      <c r="K986" s="292"/>
      <c r="L986" s="292"/>
      <c r="M986" s="292"/>
      <c r="N986" s="292"/>
      <c r="O986" s="292"/>
      <c r="P986" s="292"/>
      <c r="Q986" s="292"/>
      <c r="R986" s="292"/>
      <c r="S986" s="292"/>
      <c r="T986" s="292"/>
      <c r="U986" s="292"/>
      <c r="V986" s="292"/>
      <c r="W986" s="292"/>
      <c r="X986" s="292"/>
      <c r="Y986" s="292"/>
      <c r="Z986" s="292"/>
    </row>
    <row r="987" ht="15.75" customHeight="1">
      <c r="A987" s="292"/>
      <c r="B987" s="292"/>
      <c r="C987" s="292"/>
      <c r="D987" s="292"/>
      <c r="E987" s="292"/>
      <c r="F987" s="292"/>
      <c r="G987" s="292"/>
      <c r="H987" s="292"/>
      <c r="I987" s="292"/>
      <c r="J987" s="292"/>
      <c r="K987" s="292"/>
      <c r="L987" s="292"/>
      <c r="M987" s="292"/>
      <c r="N987" s="292"/>
      <c r="O987" s="292"/>
      <c r="P987" s="292"/>
      <c r="Q987" s="292"/>
      <c r="R987" s="292"/>
      <c r="S987" s="292"/>
      <c r="T987" s="292"/>
      <c r="U987" s="292"/>
      <c r="V987" s="292"/>
      <c r="W987" s="292"/>
      <c r="X987" s="292"/>
      <c r="Y987" s="292"/>
      <c r="Z987" s="292"/>
    </row>
    <row r="988" ht="15.75" customHeight="1">
      <c r="A988" s="292"/>
      <c r="B988" s="292"/>
      <c r="C988" s="292"/>
      <c r="D988" s="292"/>
      <c r="E988" s="292"/>
      <c r="F988" s="292"/>
      <c r="G988" s="292"/>
      <c r="H988" s="292"/>
      <c r="I988" s="292"/>
      <c r="J988" s="292"/>
      <c r="K988" s="292"/>
      <c r="L988" s="292"/>
      <c r="M988" s="292"/>
      <c r="N988" s="292"/>
      <c r="O988" s="292"/>
      <c r="P988" s="292"/>
      <c r="Q988" s="292"/>
      <c r="R988" s="292"/>
      <c r="S988" s="292"/>
      <c r="T988" s="292"/>
      <c r="U988" s="292"/>
      <c r="V988" s="292"/>
      <c r="W988" s="292"/>
      <c r="X988" s="292"/>
      <c r="Y988" s="292"/>
      <c r="Z988" s="292"/>
    </row>
    <row r="989" ht="15.75" customHeight="1">
      <c r="A989" s="292"/>
      <c r="B989" s="292"/>
      <c r="C989" s="292"/>
      <c r="D989" s="292"/>
      <c r="E989" s="292"/>
      <c r="F989" s="292"/>
      <c r="G989" s="292"/>
      <c r="H989" s="292"/>
      <c r="I989" s="292"/>
      <c r="J989" s="292"/>
      <c r="K989" s="292"/>
      <c r="L989" s="292"/>
      <c r="M989" s="292"/>
      <c r="N989" s="292"/>
      <c r="O989" s="292"/>
      <c r="P989" s="292"/>
      <c r="Q989" s="292"/>
      <c r="R989" s="292"/>
      <c r="S989" s="292"/>
      <c r="T989" s="292"/>
      <c r="U989" s="292"/>
      <c r="V989" s="292"/>
      <c r="W989" s="292"/>
      <c r="X989" s="292"/>
      <c r="Y989" s="292"/>
      <c r="Z989" s="292"/>
    </row>
    <row r="990" ht="15.75" customHeight="1">
      <c r="A990" s="292"/>
      <c r="B990" s="292"/>
      <c r="C990" s="292"/>
      <c r="D990" s="292"/>
      <c r="E990" s="292"/>
      <c r="F990" s="292"/>
      <c r="G990" s="292"/>
      <c r="H990" s="292"/>
      <c r="I990" s="292"/>
      <c r="J990" s="292"/>
      <c r="K990" s="292"/>
      <c r="L990" s="292"/>
      <c r="M990" s="292"/>
      <c r="N990" s="292"/>
      <c r="O990" s="292"/>
      <c r="P990" s="292"/>
      <c r="Q990" s="292"/>
      <c r="R990" s="292"/>
      <c r="S990" s="292"/>
      <c r="T990" s="292"/>
      <c r="U990" s="292"/>
      <c r="V990" s="292"/>
      <c r="W990" s="292"/>
      <c r="X990" s="292"/>
      <c r="Y990" s="292"/>
      <c r="Z990" s="292"/>
    </row>
    <row r="991" ht="15.75" customHeight="1">
      <c r="A991" s="292"/>
      <c r="B991" s="292"/>
      <c r="C991" s="292"/>
      <c r="D991" s="292"/>
      <c r="E991" s="292"/>
      <c r="F991" s="292"/>
      <c r="G991" s="292"/>
      <c r="H991" s="292"/>
      <c r="I991" s="292"/>
      <c r="J991" s="292"/>
      <c r="K991" s="292"/>
      <c r="L991" s="292"/>
      <c r="M991" s="292"/>
      <c r="N991" s="292"/>
      <c r="O991" s="292"/>
      <c r="P991" s="292"/>
      <c r="Q991" s="292"/>
      <c r="R991" s="292"/>
      <c r="S991" s="292"/>
      <c r="T991" s="292"/>
      <c r="U991" s="292"/>
      <c r="V991" s="292"/>
      <c r="W991" s="292"/>
      <c r="X991" s="292"/>
      <c r="Y991" s="292"/>
      <c r="Z991" s="292"/>
    </row>
    <row r="992" ht="15.75" customHeight="1">
      <c r="A992" s="292"/>
      <c r="B992" s="292"/>
      <c r="C992" s="292"/>
      <c r="D992" s="292"/>
      <c r="E992" s="292"/>
      <c r="F992" s="292"/>
      <c r="G992" s="292"/>
      <c r="H992" s="292"/>
      <c r="I992" s="292"/>
      <c r="J992" s="292"/>
      <c r="K992" s="292"/>
      <c r="L992" s="292"/>
      <c r="M992" s="292"/>
      <c r="N992" s="292"/>
      <c r="O992" s="292"/>
      <c r="P992" s="292"/>
      <c r="Q992" s="292"/>
      <c r="R992" s="292"/>
      <c r="S992" s="292"/>
      <c r="T992" s="292"/>
      <c r="U992" s="292"/>
      <c r="V992" s="292"/>
      <c r="W992" s="292"/>
      <c r="X992" s="292"/>
      <c r="Y992" s="292"/>
      <c r="Z992" s="292"/>
    </row>
    <row r="993" ht="15.75" customHeight="1">
      <c r="A993" s="292"/>
      <c r="B993" s="292"/>
      <c r="C993" s="292"/>
      <c r="D993" s="292"/>
      <c r="E993" s="292"/>
      <c r="F993" s="292"/>
      <c r="G993" s="292"/>
      <c r="H993" s="292"/>
      <c r="I993" s="292"/>
      <c r="J993" s="292"/>
      <c r="K993" s="292"/>
      <c r="L993" s="292"/>
      <c r="M993" s="292"/>
      <c r="N993" s="292"/>
      <c r="O993" s="292"/>
      <c r="P993" s="292"/>
      <c r="Q993" s="292"/>
      <c r="R993" s="292"/>
      <c r="S993" s="292"/>
      <c r="T993" s="292"/>
      <c r="U993" s="292"/>
      <c r="V993" s="292"/>
      <c r="W993" s="292"/>
      <c r="X993" s="292"/>
      <c r="Y993" s="292"/>
      <c r="Z993" s="292"/>
    </row>
    <row r="994" ht="15.75" customHeight="1">
      <c r="A994" s="292"/>
      <c r="B994" s="292"/>
      <c r="C994" s="292"/>
      <c r="D994" s="292"/>
      <c r="E994" s="292"/>
      <c r="F994" s="292"/>
      <c r="G994" s="292"/>
      <c r="H994" s="292"/>
      <c r="I994" s="292"/>
      <c r="J994" s="292"/>
      <c r="K994" s="292"/>
      <c r="L994" s="292"/>
      <c r="M994" s="292"/>
      <c r="N994" s="292"/>
      <c r="O994" s="292"/>
      <c r="P994" s="292"/>
      <c r="Q994" s="292"/>
      <c r="R994" s="292"/>
      <c r="S994" s="292"/>
      <c r="T994" s="292"/>
      <c r="U994" s="292"/>
      <c r="V994" s="292"/>
      <c r="W994" s="292"/>
      <c r="X994" s="292"/>
      <c r="Y994" s="292"/>
      <c r="Z994" s="292"/>
    </row>
    <row r="995" ht="15.75" customHeight="1">
      <c r="A995" s="292"/>
      <c r="B995" s="292"/>
      <c r="C995" s="292"/>
      <c r="D995" s="292"/>
      <c r="E995" s="292"/>
      <c r="F995" s="292"/>
      <c r="G995" s="292"/>
      <c r="H995" s="292"/>
      <c r="I995" s="292"/>
      <c r="J995" s="292"/>
      <c r="K995" s="292"/>
      <c r="L995" s="292"/>
      <c r="M995" s="292"/>
      <c r="N995" s="292"/>
      <c r="O995" s="292"/>
      <c r="P995" s="292"/>
      <c r="Q995" s="292"/>
      <c r="R995" s="292"/>
      <c r="S995" s="292"/>
      <c r="T995" s="292"/>
      <c r="U995" s="292"/>
      <c r="V995" s="292"/>
      <c r="W995" s="292"/>
      <c r="X995" s="292"/>
      <c r="Y995" s="292"/>
      <c r="Z995" s="292"/>
    </row>
    <row r="996" ht="15.75" customHeight="1">
      <c r="A996" s="292"/>
      <c r="B996" s="292"/>
      <c r="C996" s="292"/>
      <c r="D996" s="292"/>
      <c r="E996" s="292"/>
      <c r="F996" s="292"/>
      <c r="G996" s="292"/>
      <c r="H996" s="292"/>
      <c r="I996" s="292"/>
      <c r="J996" s="292"/>
      <c r="K996" s="292"/>
      <c r="L996" s="292"/>
      <c r="M996" s="292"/>
      <c r="N996" s="292"/>
      <c r="O996" s="292"/>
      <c r="P996" s="292"/>
      <c r="Q996" s="292"/>
      <c r="R996" s="292"/>
      <c r="S996" s="292"/>
      <c r="T996" s="292"/>
      <c r="U996" s="292"/>
      <c r="V996" s="292"/>
      <c r="W996" s="292"/>
      <c r="X996" s="292"/>
      <c r="Y996" s="292"/>
      <c r="Z996" s="292"/>
    </row>
    <row r="997" ht="15.75" customHeight="1">
      <c r="A997" s="292"/>
      <c r="B997" s="292"/>
      <c r="C997" s="292"/>
      <c r="D997" s="292"/>
      <c r="E997" s="292"/>
      <c r="F997" s="292"/>
      <c r="G997" s="292"/>
      <c r="H997" s="292"/>
      <c r="I997" s="292"/>
      <c r="J997" s="292"/>
      <c r="K997" s="292"/>
      <c r="L997" s="292"/>
      <c r="M997" s="292"/>
      <c r="N997" s="292"/>
      <c r="O997" s="292"/>
      <c r="P997" s="292"/>
      <c r="Q997" s="292"/>
      <c r="R997" s="292"/>
      <c r="S997" s="292"/>
      <c r="T997" s="292"/>
      <c r="U997" s="292"/>
      <c r="V997" s="292"/>
      <c r="W997" s="292"/>
      <c r="X997" s="292"/>
      <c r="Y997" s="292"/>
      <c r="Z997" s="292"/>
    </row>
    <row r="998" ht="15.75" customHeight="1">
      <c r="A998" s="292"/>
      <c r="B998" s="292"/>
      <c r="C998" s="292"/>
      <c r="D998" s="292"/>
      <c r="E998" s="292"/>
      <c r="F998" s="292"/>
      <c r="G998" s="292"/>
      <c r="H998" s="292"/>
      <c r="I998" s="292"/>
      <c r="J998" s="292"/>
      <c r="K998" s="292"/>
      <c r="L998" s="292"/>
      <c r="M998" s="292"/>
      <c r="N998" s="292"/>
      <c r="O998" s="292"/>
      <c r="P998" s="292"/>
      <c r="Q998" s="292"/>
      <c r="R998" s="292"/>
      <c r="S998" s="292"/>
      <c r="T998" s="292"/>
      <c r="U998" s="292"/>
      <c r="V998" s="292"/>
      <c r="W998" s="292"/>
      <c r="X998" s="292"/>
      <c r="Y998" s="292"/>
      <c r="Z998" s="292"/>
    </row>
    <row r="999" ht="15.75" customHeight="1">
      <c r="A999" s="292"/>
      <c r="B999" s="292"/>
      <c r="C999" s="292"/>
      <c r="D999" s="292"/>
      <c r="E999" s="292"/>
      <c r="F999" s="292"/>
      <c r="G999" s="292"/>
      <c r="H999" s="292"/>
      <c r="I999" s="292"/>
      <c r="J999" s="292"/>
      <c r="K999" s="292"/>
      <c r="L999" s="292"/>
      <c r="M999" s="292"/>
      <c r="N999" s="292"/>
      <c r="O999" s="292"/>
      <c r="P999" s="292"/>
      <c r="Q999" s="292"/>
      <c r="R999" s="292"/>
      <c r="S999" s="292"/>
      <c r="T999" s="292"/>
      <c r="U999" s="292"/>
      <c r="V999" s="292"/>
      <c r="W999" s="292"/>
      <c r="X999" s="292"/>
      <c r="Y999" s="292"/>
      <c r="Z999" s="292"/>
    </row>
    <row r="1000" ht="15.75" customHeight="1">
      <c r="A1000" s="292"/>
      <c r="B1000" s="292"/>
      <c r="C1000" s="292"/>
      <c r="D1000" s="292"/>
      <c r="E1000" s="292"/>
      <c r="F1000" s="292"/>
      <c r="G1000" s="292"/>
      <c r="H1000" s="292"/>
      <c r="I1000" s="292"/>
      <c r="J1000" s="292"/>
      <c r="K1000" s="292"/>
      <c r="L1000" s="292"/>
      <c r="M1000" s="292"/>
      <c r="N1000" s="292"/>
      <c r="O1000" s="292"/>
      <c r="P1000" s="292"/>
      <c r="Q1000" s="292"/>
      <c r="R1000" s="292"/>
      <c r="S1000" s="292"/>
      <c r="T1000" s="292"/>
      <c r="U1000" s="292"/>
      <c r="V1000" s="292"/>
      <c r="W1000" s="292"/>
      <c r="X1000" s="292"/>
      <c r="Y1000" s="292"/>
      <c r="Z1000" s="292"/>
    </row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3.88"/>
    <col customWidth="1" min="3" max="3" width="45.63"/>
    <col customWidth="1" min="4" max="5" width="24.13"/>
    <col customWidth="1" min="6" max="6" width="28.13"/>
    <col customWidth="1" min="7" max="26" width="8.63"/>
  </cols>
  <sheetData>
    <row r="1" ht="14.25" customHeight="1"/>
    <row r="2" ht="14.25" customHeight="1">
      <c r="B2" s="1" t="s">
        <v>364</v>
      </c>
      <c r="C2" s="3"/>
    </row>
    <row r="3" ht="14.25" customHeight="1"/>
    <row r="4" ht="14.25" customHeight="1">
      <c r="B4" s="1" t="s">
        <v>365</v>
      </c>
      <c r="C4" s="3"/>
    </row>
    <row r="5" ht="14.25" customHeight="1">
      <c r="B5" s="325"/>
      <c r="C5" s="56" t="s">
        <v>366</v>
      </c>
      <c r="D5" s="57" t="s">
        <v>367</v>
      </c>
      <c r="E5" s="57" t="s">
        <v>368</v>
      </c>
      <c r="F5" s="58" t="s">
        <v>304</v>
      </c>
    </row>
    <row r="6" ht="14.25" customHeight="1">
      <c r="B6" s="326" t="s">
        <v>369</v>
      </c>
      <c r="C6" s="327">
        <f>'MK Assumptions'!H3</f>
        <v>0.8571428571</v>
      </c>
      <c r="D6" s="328">
        <f t="shared" ref="D6:D9" si="1">F6*E6</f>
        <v>35</v>
      </c>
      <c r="E6" s="329">
        <f>'MK Assumptions'!$C$16</f>
        <v>0.5</v>
      </c>
      <c r="F6" s="330">
        <f>'MK Assumptions'!C29</f>
        <v>70</v>
      </c>
    </row>
    <row r="7" ht="14.25" customHeight="1">
      <c r="B7" s="331" t="s">
        <v>370</v>
      </c>
      <c r="C7" s="332">
        <f>'MK Assumptions'!H4</f>
        <v>0.1428571429</v>
      </c>
      <c r="D7" s="333">
        <f t="shared" si="1"/>
        <v>31.5</v>
      </c>
      <c r="E7" s="334">
        <f>'MK Assumptions'!$C$17</f>
        <v>0.45</v>
      </c>
      <c r="F7" s="335">
        <f>'MK Assumptions'!C30</f>
        <v>70</v>
      </c>
    </row>
    <row r="8" ht="14.25" customHeight="1">
      <c r="B8" s="331" t="s">
        <v>371</v>
      </c>
      <c r="C8" s="332">
        <v>0.0</v>
      </c>
      <c r="D8" s="336">
        <f t="shared" si="1"/>
        <v>0</v>
      </c>
      <c r="E8" s="334">
        <f>'MK Assumptions'!$C$18</f>
        <v>0.45</v>
      </c>
      <c r="F8" s="335">
        <v>0.0</v>
      </c>
    </row>
    <row r="9" ht="14.25" customHeight="1">
      <c r="B9" s="337" t="s">
        <v>372</v>
      </c>
      <c r="C9" s="338">
        <v>0.0</v>
      </c>
      <c r="D9" s="339">
        <f t="shared" si="1"/>
        <v>0</v>
      </c>
      <c r="E9" s="220">
        <f>'MK Assumptions'!$C$19</f>
        <v>0.4</v>
      </c>
      <c r="F9" s="340">
        <v>0.0</v>
      </c>
    </row>
    <row r="10" ht="14.25" customHeight="1">
      <c r="B10" s="174" t="s">
        <v>373</v>
      </c>
      <c r="C10" s="341">
        <f>(C6*D6)+(C7*D7)</f>
        <v>34.5</v>
      </c>
    </row>
    <row r="11" ht="14.25" customHeight="1">
      <c r="B11" s="342" t="s">
        <v>374</v>
      </c>
      <c r="C11" s="343">
        <f>(C6*F6)+(C7*F7)</f>
        <v>70</v>
      </c>
    </row>
    <row r="12" ht="14.25" customHeight="1"/>
    <row r="13" ht="14.25" customHeight="1">
      <c r="B13" s="1" t="s">
        <v>375</v>
      </c>
      <c r="C13" s="3"/>
    </row>
    <row r="14" ht="14.25" customHeight="1">
      <c r="B14" s="325"/>
      <c r="C14" s="56" t="s">
        <v>366</v>
      </c>
      <c r="D14" s="57" t="s">
        <v>367</v>
      </c>
      <c r="E14" s="57" t="s">
        <v>368</v>
      </c>
      <c r="F14" s="58" t="s">
        <v>304</v>
      </c>
    </row>
    <row r="15" ht="14.25" customHeight="1">
      <c r="B15" s="326" t="s">
        <v>369</v>
      </c>
      <c r="C15" s="327">
        <f>'MK Assumptions'!H8</f>
        <v>0.7058823529</v>
      </c>
      <c r="D15" s="328">
        <f t="shared" ref="D15:D18" si="2">F15*E15</f>
        <v>35</v>
      </c>
      <c r="E15" s="329">
        <f>'MK Assumptions'!$C$16</f>
        <v>0.5</v>
      </c>
      <c r="F15" s="330">
        <f>'MK Assumptions'!C29</f>
        <v>70</v>
      </c>
    </row>
    <row r="16" ht="14.25" customHeight="1">
      <c r="B16" s="331" t="s">
        <v>370</v>
      </c>
      <c r="C16" s="332">
        <f>'MK Assumptions'!H9</f>
        <v>0.2941176471</v>
      </c>
      <c r="D16" s="333">
        <f t="shared" si="2"/>
        <v>31.5</v>
      </c>
      <c r="E16" s="334">
        <f>'MK Assumptions'!$C$17</f>
        <v>0.45</v>
      </c>
      <c r="F16" s="335">
        <f>'MK Assumptions'!C30</f>
        <v>70</v>
      </c>
    </row>
    <row r="17" ht="14.25" customHeight="1">
      <c r="B17" s="331" t="s">
        <v>371</v>
      </c>
      <c r="C17" s="332">
        <v>0.0</v>
      </c>
      <c r="D17" s="336">
        <f t="shared" si="2"/>
        <v>0</v>
      </c>
      <c r="E17" s="334">
        <f>'MK Assumptions'!$C$18</f>
        <v>0.45</v>
      </c>
      <c r="F17" s="335">
        <v>0.0</v>
      </c>
    </row>
    <row r="18" ht="14.25" customHeight="1">
      <c r="B18" s="337" t="s">
        <v>372</v>
      </c>
      <c r="C18" s="338">
        <v>0.0</v>
      </c>
      <c r="D18" s="339">
        <f t="shared" si="2"/>
        <v>0</v>
      </c>
      <c r="E18" s="220">
        <f>'MK Assumptions'!$C$19</f>
        <v>0.4</v>
      </c>
      <c r="F18" s="340">
        <v>0.0</v>
      </c>
    </row>
    <row r="19" ht="14.25" customHeight="1">
      <c r="B19" s="174" t="s">
        <v>373</v>
      </c>
      <c r="C19" s="341">
        <f>(C15*D15)+(C16*D16)</f>
        <v>33.97058824</v>
      </c>
    </row>
    <row r="20" ht="14.25" customHeight="1">
      <c r="B20" s="342" t="s">
        <v>374</v>
      </c>
      <c r="C20" s="343">
        <f>(C15*F15)+(C16*F16)</f>
        <v>70</v>
      </c>
    </row>
    <row r="21" ht="14.25" customHeight="1"/>
    <row r="22" ht="14.25" customHeight="1">
      <c r="B22" s="1" t="s">
        <v>375</v>
      </c>
      <c r="C22" s="3"/>
    </row>
    <row r="23" ht="14.25" customHeight="1">
      <c r="B23" s="325"/>
      <c r="C23" s="56" t="s">
        <v>366</v>
      </c>
      <c r="D23" s="57" t="s">
        <v>367</v>
      </c>
      <c r="E23" s="57" t="s">
        <v>368</v>
      </c>
      <c r="F23" s="58" t="s">
        <v>304</v>
      </c>
    </row>
    <row r="24" ht="14.25" customHeight="1">
      <c r="B24" s="326" t="s">
        <v>369</v>
      </c>
      <c r="C24" s="327">
        <f>'MK Assumptions'!H13</f>
        <v>0.5454545455</v>
      </c>
      <c r="D24" s="328">
        <f t="shared" ref="D24:D27" si="3">F24*E24</f>
        <v>35</v>
      </c>
      <c r="E24" s="329">
        <f>'MK Assumptions'!$C$16</f>
        <v>0.5</v>
      </c>
      <c r="F24" s="330">
        <f>'MK Assumptions'!C29</f>
        <v>70</v>
      </c>
    </row>
    <row r="25" ht="14.25" customHeight="1">
      <c r="B25" s="331" t="s">
        <v>370</v>
      </c>
      <c r="C25" s="332">
        <f>'MK Assumptions'!H14</f>
        <v>0.3636363636</v>
      </c>
      <c r="D25" s="333">
        <f t="shared" si="3"/>
        <v>31.5</v>
      </c>
      <c r="E25" s="334">
        <f>'MK Assumptions'!$C$17</f>
        <v>0.45</v>
      </c>
      <c r="F25" s="335">
        <f>'MK Assumptions'!C30</f>
        <v>70</v>
      </c>
    </row>
    <row r="26" ht="14.25" customHeight="1">
      <c r="B26" s="331" t="s">
        <v>371</v>
      </c>
      <c r="C26" s="332">
        <f>'MK Assumptions'!H15</f>
        <v>0.09090909091</v>
      </c>
      <c r="D26" s="336">
        <f t="shared" si="3"/>
        <v>28.35</v>
      </c>
      <c r="E26" s="334">
        <f>'MK Assumptions'!$C$18</f>
        <v>0.45</v>
      </c>
      <c r="F26" s="335">
        <f>'MK Assumptions'!C31</f>
        <v>63</v>
      </c>
    </row>
    <row r="27" ht="14.25" customHeight="1">
      <c r="B27" s="337" t="s">
        <v>372</v>
      </c>
      <c r="C27" s="338">
        <v>0.0</v>
      </c>
      <c r="D27" s="339">
        <f t="shared" si="3"/>
        <v>0</v>
      </c>
      <c r="E27" s="220">
        <f>'MK Assumptions'!$C$19</f>
        <v>0.4</v>
      </c>
      <c r="F27" s="340">
        <v>0.0</v>
      </c>
    </row>
    <row r="28" ht="14.25" customHeight="1">
      <c r="B28" s="174" t="s">
        <v>373</v>
      </c>
      <c r="C28" s="341">
        <f>(C24*D24)+(C25*D25)+(C26*D26)</f>
        <v>33.12272727</v>
      </c>
    </row>
    <row r="29" ht="14.25" customHeight="1">
      <c r="B29" s="342" t="s">
        <v>374</v>
      </c>
      <c r="C29" s="343">
        <f>(C24*F24)+(C25*F25)+(C26*F26)</f>
        <v>69.36363636</v>
      </c>
    </row>
    <row r="30" ht="14.25" customHeight="1"/>
    <row r="31" ht="14.25" customHeight="1">
      <c r="B31" s="1" t="s">
        <v>365</v>
      </c>
      <c r="C31" s="3"/>
    </row>
    <row r="32" ht="14.25" customHeight="1">
      <c r="B32" s="325"/>
      <c r="C32" s="56" t="s">
        <v>366</v>
      </c>
      <c r="D32" s="57" t="s">
        <v>367</v>
      </c>
      <c r="E32" s="57" t="s">
        <v>368</v>
      </c>
      <c r="F32" s="58" t="s">
        <v>304</v>
      </c>
    </row>
    <row r="33" ht="14.25" customHeight="1">
      <c r="B33" s="326" t="s">
        <v>369</v>
      </c>
      <c r="C33" s="327">
        <f>'MK Assumptions'!H19</f>
        <v>0.4444444444</v>
      </c>
      <c r="D33" s="328">
        <f t="shared" ref="D33:D36" si="4">F33*E33</f>
        <v>35</v>
      </c>
      <c r="E33" s="329">
        <f>'MK Assumptions'!$C$16</f>
        <v>0.5</v>
      </c>
      <c r="F33" s="330">
        <f>'MK Assumptions'!C29</f>
        <v>70</v>
      </c>
    </row>
    <row r="34" ht="14.25" customHeight="1">
      <c r="B34" s="331" t="s">
        <v>370</v>
      </c>
      <c r="C34" s="332">
        <f>'MK Assumptions'!H20</f>
        <v>0.2962962963</v>
      </c>
      <c r="D34" s="333">
        <f t="shared" si="4"/>
        <v>31.5</v>
      </c>
      <c r="E34" s="334">
        <f>'MK Assumptions'!$C$17</f>
        <v>0.45</v>
      </c>
      <c r="F34" s="335">
        <f>'MK Assumptions'!C30</f>
        <v>70</v>
      </c>
    </row>
    <row r="35" ht="14.25" customHeight="1">
      <c r="B35" s="331" t="s">
        <v>371</v>
      </c>
      <c r="C35" s="332">
        <f>'MK Assumptions'!H21</f>
        <v>0.1481481481</v>
      </c>
      <c r="D35" s="336">
        <f t="shared" si="4"/>
        <v>28.35</v>
      </c>
      <c r="E35" s="334">
        <f>'MK Assumptions'!$C$18</f>
        <v>0.45</v>
      </c>
      <c r="F35" s="335">
        <f>'MK Assumptions'!C31</f>
        <v>63</v>
      </c>
    </row>
    <row r="36" ht="14.25" customHeight="1">
      <c r="B36" s="337" t="s">
        <v>372</v>
      </c>
      <c r="C36" s="338">
        <f>'MK Assumptions'!H22</f>
        <v>0.1111111111</v>
      </c>
      <c r="D36" s="339">
        <f t="shared" si="4"/>
        <v>22.68</v>
      </c>
      <c r="E36" s="220">
        <f>'MK Assumptions'!$C$19</f>
        <v>0.4</v>
      </c>
      <c r="F36" s="340">
        <f>'MK Assumptions'!C32</f>
        <v>56.7</v>
      </c>
    </row>
    <row r="37" ht="14.25" customHeight="1">
      <c r="B37" s="174" t="s">
        <v>373</v>
      </c>
      <c r="C37" s="341">
        <f>(C33*D33)+(C34*D34)+(C35*D35)+(C36*D36)</f>
        <v>31.60888889</v>
      </c>
    </row>
    <row r="38" ht="14.25" customHeight="1">
      <c r="B38" s="342" t="s">
        <v>374</v>
      </c>
      <c r="C38" s="343">
        <f>(C33*F33)+(C34*F34)+(C35*F35)+(C36*F36)</f>
        <v>67.48518519</v>
      </c>
    </row>
    <row r="39" ht="14.25" customHeight="1"/>
    <row r="40" ht="14.25" customHeight="1">
      <c r="B40" s="1" t="s">
        <v>365</v>
      </c>
      <c r="C40" s="3"/>
    </row>
    <row r="41" ht="14.25" customHeight="1">
      <c r="B41" s="325"/>
      <c r="C41" s="56" t="s">
        <v>366</v>
      </c>
      <c r="D41" s="57" t="s">
        <v>367</v>
      </c>
      <c r="E41" s="57" t="s">
        <v>368</v>
      </c>
      <c r="F41" s="58" t="s">
        <v>304</v>
      </c>
    </row>
    <row r="42" ht="14.25" customHeight="1">
      <c r="B42" s="326" t="s">
        <v>369</v>
      </c>
      <c r="C42" s="327">
        <f>'MK Assumptions'!H26</f>
        <v>0.3636363636</v>
      </c>
      <c r="D42" s="328">
        <f t="shared" ref="D42:D45" si="5">F42*E42</f>
        <v>35</v>
      </c>
      <c r="E42" s="329">
        <f>'MK Assumptions'!$C$16</f>
        <v>0.5</v>
      </c>
      <c r="F42" s="330">
        <f>'MK Assumptions'!C29</f>
        <v>70</v>
      </c>
    </row>
    <row r="43" ht="14.25" customHeight="1">
      <c r="B43" s="331" t="s">
        <v>370</v>
      </c>
      <c r="C43" s="332">
        <f>'MK Assumptions'!H27</f>
        <v>0.2727272727</v>
      </c>
      <c r="D43" s="344">
        <f t="shared" si="5"/>
        <v>31.5</v>
      </c>
      <c r="E43" s="334">
        <f>'MK Assumptions'!$C$17</f>
        <v>0.45</v>
      </c>
      <c r="F43" s="335">
        <f>'MK Assumptions'!C30</f>
        <v>70</v>
      </c>
    </row>
    <row r="44" ht="14.25" customHeight="1">
      <c r="B44" s="331" t="s">
        <v>371</v>
      </c>
      <c r="C44" s="332">
        <f>'MK Assumptions'!H28</f>
        <v>0.2424242424</v>
      </c>
      <c r="D44" s="345">
        <f t="shared" si="5"/>
        <v>28.35</v>
      </c>
      <c r="E44" s="334">
        <f>'MK Assumptions'!$C$18</f>
        <v>0.45</v>
      </c>
      <c r="F44" s="335">
        <f>'MK Assumptions'!C31</f>
        <v>63</v>
      </c>
    </row>
    <row r="45" ht="14.25" customHeight="1">
      <c r="B45" s="337" t="s">
        <v>372</v>
      </c>
      <c r="C45" s="338">
        <f>'MK Assumptions'!H29</f>
        <v>0.1212121212</v>
      </c>
      <c r="D45" s="339">
        <f t="shared" si="5"/>
        <v>22.68</v>
      </c>
      <c r="E45" s="220">
        <f>'MK Assumptions'!$C$19</f>
        <v>0.4</v>
      </c>
      <c r="F45" s="340">
        <f>'MK Assumptions'!C32</f>
        <v>56.7</v>
      </c>
    </row>
    <row r="46" ht="14.25" customHeight="1">
      <c r="B46" s="174" t="s">
        <v>373</v>
      </c>
      <c r="C46" s="341">
        <f>(C42*D42)+(C43*D43)+(C44*D44)+(C45*D45)</f>
        <v>30.94</v>
      </c>
    </row>
    <row r="47" ht="14.25" customHeight="1">
      <c r="B47" s="342" t="s">
        <v>374</v>
      </c>
      <c r="C47" s="343">
        <f>(C42*F42)+(C43*F43)+(C44*F44)+(C45*F45)</f>
        <v>66.69090909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B2:C2"/>
    <mergeCell ref="B4:C4"/>
    <mergeCell ref="B13:C13"/>
    <mergeCell ref="B22:C22"/>
    <mergeCell ref="B31:C31"/>
    <mergeCell ref="B40:C4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0.88"/>
    <col customWidth="1" min="3" max="3" width="12.0"/>
    <col customWidth="1" min="4" max="13" width="8.63"/>
    <col customWidth="1" min="14" max="14" width="23.25"/>
    <col customWidth="1" min="15" max="15" width="15.88"/>
    <col customWidth="1" min="16" max="16" width="17.38"/>
    <col customWidth="1" min="17" max="17" width="14.75"/>
    <col customWidth="1" min="18" max="18" width="26.75"/>
    <col customWidth="1" min="19" max="19" width="29.38"/>
    <col customWidth="1" min="20" max="20" width="31.38"/>
    <col customWidth="1" min="21" max="21" width="42.38"/>
    <col customWidth="1" min="22" max="22" width="48.38"/>
    <col customWidth="1" min="23" max="23" width="34.13"/>
    <col customWidth="1" min="24" max="24" width="24.75"/>
    <col customWidth="1" min="25" max="26" width="8.63"/>
  </cols>
  <sheetData>
    <row r="1" ht="14.25" customHeight="1"/>
    <row r="2" ht="14.25" customHeight="1">
      <c r="B2" s="1" t="s">
        <v>376</v>
      </c>
      <c r="C2" s="3"/>
    </row>
    <row r="3" ht="14.25" customHeight="1"/>
    <row r="4" ht="14.25" customHeight="1">
      <c r="B4" s="346" t="s">
        <v>377</v>
      </c>
      <c r="C4" s="347" t="s">
        <v>378</v>
      </c>
      <c r="D4" s="347" t="s">
        <v>379</v>
      </c>
      <c r="E4" s="347" t="s">
        <v>380</v>
      </c>
      <c r="F4" s="347" t="s">
        <v>381</v>
      </c>
      <c r="G4" s="347" t="s">
        <v>382</v>
      </c>
      <c r="H4" s="347" t="s">
        <v>383</v>
      </c>
      <c r="I4" s="347" t="s">
        <v>384</v>
      </c>
      <c r="J4" s="347" t="s">
        <v>385</v>
      </c>
      <c r="K4" s="347" t="s">
        <v>386</v>
      </c>
      <c r="L4" s="347" t="s">
        <v>387</v>
      </c>
      <c r="M4" s="347" t="s">
        <v>388</v>
      </c>
      <c r="N4" s="347" t="s">
        <v>389</v>
      </c>
      <c r="O4" s="347" t="s">
        <v>390</v>
      </c>
      <c r="P4" s="347" t="s">
        <v>391</v>
      </c>
      <c r="Q4" s="348" t="s">
        <v>392</v>
      </c>
    </row>
    <row r="5" ht="14.25" customHeight="1">
      <c r="B5" s="349" t="s">
        <v>393</v>
      </c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1">
        <f>'OM IS Expenses'!C26*12</f>
        <v>300</v>
      </c>
      <c r="P5" s="350"/>
      <c r="Q5" s="350"/>
    </row>
    <row r="6" ht="14.25" customHeight="1">
      <c r="B6" s="352" t="s">
        <v>394</v>
      </c>
      <c r="C6" s="353"/>
      <c r="D6" s="353"/>
      <c r="E6" s="353"/>
      <c r="F6" s="353"/>
      <c r="G6" s="353"/>
      <c r="H6" s="353"/>
      <c r="I6" s="353"/>
      <c r="J6" s="353"/>
      <c r="K6" s="353"/>
      <c r="L6" s="353"/>
      <c r="M6" s="353"/>
      <c r="N6" s="353"/>
      <c r="O6" s="354">
        <f>O7-O5</f>
        <v>39942.05</v>
      </c>
      <c r="P6" s="353"/>
      <c r="Q6" s="353"/>
    </row>
    <row r="7" ht="14.25" customHeight="1">
      <c r="B7" s="355" t="s">
        <v>395</v>
      </c>
      <c r="C7" s="356"/>
      <c r="D7" s="356"/>
      <c r="E7" s="356"/>
      <c r="F7" s="356"/>
      <c r="G7" s="356"/>
      <c r="H7" s="356"/>
      <c r="I7" s="356"/>
      <c r="J7" s="356"/>
      <c r="K7" s="356"/>
      <c r="L7" s="356"/>
      <c r="M7" s="356"/>
      <c r="N7" s="356"/>
      <c r="O7" s="357">
        <f>0.15*O31</f>
        <v>40242.05</v>
      </c>
      <c r="P7" s="358"/>
      <c r="Q7" s="359"/>
    </row>
    <row r="8" ht="14.25" customHeight="1"/>
    <row r="9" ht="14.25" customHeight="1"/>
    <row r="10" ht="14.25" customHeight="1">
      <c r="P10" s="360" t="s">
        <v>396</v>
      </c>
      <c r="Q10" s="361">
        <f>'MK Sales Projections'!C5</f>
        <v>13412762.16</v>
      </c>
    </row>
    <row r="11" ht="14.25" customHeight="1">
      <c r="B11" s="53" t="s">
        <v>32</v>
      </c>
      <c r="C11" s="54" t="s">
        <v>378</v>
      </c>
      <c r="D11" s="54" t="s">
        <v>379</v>
      </c>
      <c r="E11" s="54" t="s">
        <v>380</v>
      </c>
      <c r="F11" s="54" t="s">
        <v>381</v>
      </c>
      <c r="G11" s="54" t="s">
        <v>382</v>
      </c>
      <c r="H11" s="54" t="s">
        <v>383</v>
      </c>
      <c r="I11" s="54" t="s">
        <v>384</v>
      </c>
      <c r="J11" s="54" t="s">
        <v>385</v>
      </c>
      <c r="K11" s="54" t="s">
        <v>386</v>
      </c>
      <c r="L11" s="54" t="s">
        <v>387</v>
      </c>
      <c r="M11" s="54" t="s">
        <v>388</v>
      </c>
      <c r="N11" s="54" t="s">
        <v>389</v>
      </c>
      <c r="O11" s="54" t="s">
        <v>390</v>
      </c>
      <c r="P11" s="362" t="s">
        <v>391</v>
      </c>
      <c r="Q11" s="363" t="s">
        <v>392</v>
      </c>
      <c r="S11" s="1" t="s">
        <v>397</v>
      </c>
      <c r="T11" s="3"/>
    </row>
    <row r="12" ht="14.25" customHeight="1">
      <c r="A12" s="364"/>
      <c r="B12" s="355" t="s">
        <v>398</v>
      </c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66"/>
      <c r="P12" s="366"/>
      <c r="Q12" s="367"/>
      <c r="S12" s="355" t="s">
        <v>399</v>
      </c>
      <c r="T12" s="368" t="s">
        <v>400</v>
      </c>
      <c r="U12" s="355" t="s">
        <v>401</v>
      </c>
      <c r="V12" s="368" t="s">
        <v>402</v>
      </c>
      <c r="W12" s="369" t="s">
        <v>403</v>
      </c>
      <c r="X12" s="364"/>
    </row>
    <row r="13" ht="14.25" customHeight="1">
      <c r="B13" s="370" t="s">
        <v>404</v>
      </c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  <c r="O13" s="372"/>
      <c r="P13" s="371"/>
      <c r="Q13" s="373"/>
      <c r="S13" s="374" t="s">
        <v>405</v>
      </c>
      <c r="T13" s="375">
        <v>1050.0</v>
      </c>
      <c r="U13" s="376">
        <v>9.0</v>
      </c>
      <c r="V13" s="377">
        <v>4.0</v>
      </c>
      <c r="W13" s="378">
        <v>4.0E-4</v>
      </c>
    </row>
    <row r="14" ht="14.25" customHeight="1">
      <c r="B14" s="379" t="s">
        <v>406</v>
      </c>
      <c r="C14" s="380"/>
      <c r="D14" s="380"/>
      <c r="E14" s="380"/>
      <c r="F14" s="381"/>
      <c r="G14" s="381"/>
      <c r="H14" s="381"/>
      <c r="I14" s="381"/>
      <c r="J14" s="381"/>
      <c r="K14" s="381"/>
      <c r="L14" s="381"/>
      <c r="M14" s="380"/>
      <c r="N14" s="380"/>
      <c r="O14" s="373">
        <f t="shared" ref="O14:O16" si="1">T22</f>
        <v>5000</v>
      </c>
      <c r="P14" s="382">
        <f t="shared" ref="P14:P15" si="2">X22</f>
        <v>0.005120594689</v>
      </c>
      <c r="Q14" s="373">
        <v>9.1</v>
      </c>
      <c r="S14" s="374" t="s">
        <v>407</v>
      </c>
      <c r="T14" s="383">
        <v>555.0</v>
      </c>
    </row>
    <row r="15" ht="14.25" customHeight="1">
      <c r="B15" s="379" t="s">
        <v>408</v>
      </c>
      <c r="C15" s="380"/>
      <c r="D15" s="380"/>
      <c r="E15" s="380"/>
      <c r="F15" s="384"/>
      <c r="G15" s="384"/>
      <c r="H15" s="384"/>
      <c r="I15" s="384"/>
      <c r="J15" s="384"/>
      <c r="K15" s="384"/>
      <c r="L15" s="384"/>
      <c r="M15" s="380"/>
      <c r="N15" s="380"/>
      <c r="O15" s="373">
        <f t="shared" si="1"/>
        <v>5000</v>
      </c>
      <c r="P15" s="382">
        <f t="shared" si="2"/>
        <v>0.004853897049</v>
      </c>
      <c r="Q15" s="373">
        <v>9.6</v>
      </c>
      <c r="S15" s="374" t="s">
        <v>409</v>
      </c>
      <c r="T15" s="383">
        <v>555.0</v>
      </c>
    </row>
    <row r="16" ht="14.25" customHeight="1">
      <c r="B16" s="379" t="s">
        <v>410</v>
      </c>
      <c r="C16" s="380"/>
      <c r="D16" s="380"/>
      <c r="E16" s="380"/>
      <c r="F16" s="385"/>
      <c r="G16" s="385"/>
      <c r="H16" s="385"/>
      <c r="I16" s="385"/>
      <c r="J16" s="385"/>
      <c r="K16" s="385"/>
      <c r="L16" s="385"/>
      <c r="M16" s="380"/>
      <c r="N16" s="380"/>
      <c r="O16" s="373">
        <f t="shared" si="1"/>
        <v>10000</v>
      </c>
      <c r="P16" s="386">
        <f>(O16/Q16)/Q10</f>
        <v>0.0007455585867</v>
      </c>
      <c r="Q16" s="373">
        <v>1.0</v>
      </c>
      <c r="S16" s="374" t="s">
        <v>411</v>
      </c>
      <c r="T16" s="383">
        <v>2745.0</v>
      </c>
    </row>
    <row r="17" ht="14.25" customHeight="1">
      <c r="B17" s="379" t="s">
        <v>412</v>
      </c>
      <c r="C17" s="387"/>
      <c r="D17" s="387"/>
      <c r="E17" s="387"/>
      <c r="F17" s="387"/>
      <c r="G17" s="387"/>
      <c r="H17" s="387"/>
      <c r="I17" s="387"/>
      <c r="J17" s="387"/>
      <c r="K17" s="387"/>
      <c r="L17" s="387"/>
      <c r="M17" s="387"/>
      <c r="N17" s="387"/>
      <c r="O17" s="373">
        <f t="shared" ref="O17:P17" si="3">W29</f>
        <v>8137.333333</v>
      </c>
      <c r="P17" s="388">
        <f t="shared" si="3"/>
        <v>0.01</v>
      </c>
      <c r="Q17" s="373"/>
      <c r="S17" s="389" t="s">
        <v>413</v>
      </c>
      <c r="T17" s="390">
        <v>1804.0</v>
      </c>
    </row>
    <row r="18" ht="14.25" customHeight="1">
      <c r="B18" s="379" t="s">
        <v>414</v>
      </c>
      <c r="C18" s="380"/>
      <c r="D18" s="391"/>
      <c r="E18" s="391"/>
      <c r="F18" s="391"/>
      <c r="G18" s="391"/>
      <c r="H18" s="391"/>
      <c r="I18" s="391"/>
      <c r="J18" s="391"/>
      <c r="K18" s="391"/>
      <c r="L18" s="391"/>
      <c r="M18" s="380"/>
      <c r="N18" s="380"/>
      <c r="O18" s="392">
        <f>5*T18*U13*V13*0.75</f>
        <v>181143</v>
      </c>
      <c r="P18" s="382">
        <f>O18/1000*W13</f>
        <v>0.0724572</v>
      </c>
      <c r="Q18" s="373"/>
      <c r="S18" s="355" t="s">
        <v>415</v>
      </c>
      <c r="T18" s="393">
        <f>AVERAGE(T13:T17)</f>
        <v>1341.8</v>
      </c>
    </row>
    <row r="19" ht="14.25" customHeight="1">
      <c r="B19" s="394" t="s">
        <v>416</v>
      </c>
      <c r="C19" s="380"/>
      <c r="D19" s="380"/>
      <c r="E19" s="380"/>
      <c r="F19" s="380"/>
      <c r="G19" s="380"/>
      <c r="H19" s="380"/>
      <c r="I19" s="380"/>
      <c r="J19" s="380"/>
      <c r="K19" s="380"/>
      <c r="L19" s="380"/>
      <c r="M19" s="380"/>
      <c r="N19" s="380"/>
      <c r="O19" s="395"/>
      <c r="P19" s="380"/>
      <c r="Q19" s="373"/>
    </row>
    <row r="20" ht="14.25" customHeight="1">
      <c r="B20" s="379" t="s">
        <v>393</v>
      </c>
      <c r="C20" s="396"/>
      <c r="D20" s="396"/>
      <c r="E20" s="396"/>
      <c r="F20" s="396"/>
      <c r="G20" s="396"/>
      <c r="H20" s="396"/>
      <c r="I20" s="396"/>
      <c r="J20" s="396"/>
      <c r="K20" s="396"/>
      <c r="L20" s="396"/>
      <c r="M20" s="396"/>
      <c r="N20" s="396"/>
      <c r="O20" s="373">
        <v>2000.0</v>
      </c>
      <c r="P20" s="388">
        <v>0.0</v>
      </c>
      <c r="Q20" s="373"/>
      <c r="S20" s="199" t="s">
        <v>417</v>
      </c>
      <c r="T20" s="397"/>
    </row>
    <row r="21" ht="14.25" customHeight="1">
      <c r="B21" s="394" t="s">
        <v>418</v>
      </c>
      <c r="C21" s="380"/>
      <c r="D21" s="380"/>
      <c r="E21" s="380"/>
      <c r="F21" s="380"/>
      <c r="G21" s="380"/>
      <c r="H21" s="380"/>
      <c r="I21" s="380"/>
      <c r="J21" s="380"/>
      <c r="K21" s="380"/>
      <c r="L21" s="380"/>
      <c r="M21" s="380"/>
      <c r="N21" s="380"/>
      <c r="O21" s="395"/>
      <c r="P21" s="380"/>
      <c r="Q21" s="373"/>
      <c r="S21" s="398" t="s">
        <v>419</v>
      </c>
      <c r="T21" s="399" t="s">
        <v>420</v>
      </c>
      <c r="U21" s="399" t="s">
        <v>421</v>
      </c>
      <c r="V21" s="399" t="s">
        <v>422</v>
      </c>
      <c r="W21" s="399" t="s">
        <v>423</v>
      </c>
      <c r="X21" s="400" t="s">
        <v>391</v>
      </c>
    </row>
    <row r="22" ht="14.25" customHeight="1">
      <c r="B22" s="379" t="s">
        <v>424</v>
      </c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73">
        <v>0.0</v>
      </c>
      <c r="P22" s="388">
        <v>0.01</v>
      </c>
      <c r="Q22" s="373"/>
      <c r="S22" s="401" t="s">
        <v>425</v>
      </c>
      <c r="T22" s="402">
        <v>5000.0</v>
      </c>
      <c r="U22" s="403">
        <f>(T22/Q14)*U25</f>
        <v>549450.5495</v>
      </c>
      <c r="V22" s="403">
        <f>U22*V25</f>
        <v>274725.2747</v>
      </c>
      <c r="W22" s="403">
        <f>V22/W25</f>
        <v>68681.31868</v>
      </c>
      <c r="X22" s="404">
        <f t="shared" ref="X22:X23" si="4">W22/$Q$10</f>
        <v>0.005120594689</v>
      </c>
    </row>
    <row r="23" ht="14.25" customHeight="1">
      <c r="B23" s="379" t="s">
        <v>426</v>
      </c>
      <c r="C23" s="405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5"/>
      <c r="O23" s="373">
        <v>5000.0</v>
      </c>
      <c r="P23" s="388">
        <v>0.01</v>
      </c>
      <c r="Q23" s="373"/>
      <c r="S23" s="374" t="s">
        <v>427</v>
      </c>
      <c r="T23" s="375">
        <v>5000.0</v>
      </c>
      <c r="U23" s="406">
        <f>T23/Q15*U25</f>
        <v>520833.3333</v>
      </c>
      <c r="V23" s="406">
        <f>U23*V25</f>
        <v>260416.6667</v>
      </c>
      <c r="W23" s="406">
        <f>V23/W25</f>
        <v>65104.16667</v>
      </c>
      <c r="X23" s="407">
        <f t="shared" si="4"/>
        <v>0.004853897049</v>
      </c>
    </row>
    <row r="24" ht="14.25" customHeight="1">
      <c r="B24" s="408" t="s">
        <v>428</v>
      </c>
      <c r="C24" s="380"/>
      <c r="D24" s="380"/>
      <c r="E24" s="380"/>
      <c r="F24" s="380"/>
      <c r="G24" s="380"/>
      <c r="H24" s="380"/>
      <c r="I24" s="380"/>
      <c r="J24" s="380"/>
      <c r="K24" s="380"/>
      <c r="L24" s="380"/>
      <c r="M24" s="380"/>
      <c r="N24" s="380"/>
      <c r="O24" s="409">
        <f t="shared" ref="O24:P24" si="5">SUM(O14:O23)</f>
        <v>216280.3333</v>
      </c>
      <c r="P24" s="410">
        <f t="shared" si="5"/>
        <v>0.1131772503</v>
      </c>
      <c r="Q24" s="373"/>
      <c r="S24" s="389" t="s">
        <v>429</v>
      </c>
      <c r="T24" s="411">
        <v>10000.0</v>
      </c>
      <c r="U24" s="412"/>
      <c r="V24" s="411"/>
      <c r="W24" s="412"/>
      <c r="X24" s="413"/>
    </row>
    <row r="25" ht="14.25" customHeight="1">
      <c r="B25" s="355" t="s">
        <v>430</v>
      </c>
      <c r="C25" s="365"/>
      <c r="D25" s="365"/>
      <c r="E25" s="365"/>
      <c r="F25" s="365"/>
      <c r="G25" s="365"/>
      <c r="H25" s="365"/>
      <c r="I25" s="365"/>
      <c r="J25" s="365"/>
      <c r="K25" s="365"/>
      <c r="L25" s="365"/>
      <c r="M25" s="365"/>
      <c r="N25" s="365"/>
      <c r="O25" s="366"/>
      <c r="P25" s="366"/>
      <c r="Q25" s="367"/>
      <c r="T25" s="188" t="s">
        <v>431</v>
      </c>
      <c r="U25" s="414">
        <v>1000.0</v>
      </c>
      <c r="V25" s="415">
        <v>0.5</v>
      </c>
      <c r="W25" s="416">
        <v>4.0</v>
      </c>
    </row>
    <row r="26" ht="14.25" customHeight="1">
      <c r="B26" s="379" t="s">
        <v>432</v>
      </c>
      <c r="C26" s="380"/>
      <c r="D26" s="380"/>
      <c r="E26" s="380"/>
      <c r="F26" s="380"/>
      <c r="G26" s="380"/>
      <c r="H26" s="380"/>
      <c r="I26" s="380"/>
      <c r="J26" s="417"/>
      <c r="K26" s="380"/>
      <c r="L26" s="380"/>
      <c r="M26" s="380"/>
      <c r="N26" s="380"/>
      <c r="O26" s="373">
        <v>16000.0</v>
      </c>
      <c r="P26" s="380"/>
    </row>
    <row r="27" ht="14.25" customHeight="1">
      <c r="B27" s="379" t="s">
        <v>433</v>
      </c>
      <c r="C27" s="380"/>
      <c r="D27" s="380"/>
      <c r="E27" s="380"/>
      <c r="F27" s="418"/>
      <c r="G27" s="380"/>
      <c r="H27" s="380"/>
      <c r="I27" s="380"/>
      <c r="J27" s="380"/>
      <c r="K27" s="380"/>
      <c r="L27" s="380"/>
      <c r="M27" s="380"/>
      <c r="N27" s="380"/>
      <c r="O27" s="373">
        <v>16000.0</v>
      </c>
      <c r="P27" s="380"/>
      <c r="S27" s="199" t="s">
        <v>434</v>
      </c>
      <c r="T27" s="397"/>
    </row>
    <row r="28" ht="14.25" customHeight="1">
      <c r="B28" s="379" t="s">
        <v>435</v>
      </c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73">
        <v>0.0</v>
      </c>
      <c r="P28" s="380"/>
      <c r="S28" s="419" t="s">
        <v>436</v>
      </c>
      <c r="T28" s="419" t="s">
        <v>437</v>
      </c>
      <c r="U28" s="419" t="s">
        <v>438</v>
      </c>
      <c r="V28" s="419" t="s">
        <v>439</v>
      </c>
      <c r="W28" s="419" t="s">
        <v>440</v>
      </c>
      <c r="X28" s="419" t="s">
        <v>441</v>
      </c>
    </row>
    <row r="29" ht="14.25" customHeight="1">
      <c r="B29" s="408" t="s">
        <v>442</v>
      </c>
      <c r="C29" s="380"/>
      <c r="D29" s="380"/>
      <c r="E29" s="380"/>
      <c r="F29" s="380"/>
      <c r="G29" s="380"/>
      <c r="H29" s="380"/>
      <c r="I29" s="380"/>
      <c r="J29" s="380"/>
      <c r="K29" s="380"/>
      <c r="L29" s="380"/>
      <c r="M29" s="380"/>
      <c r="N29" s="380"/>
      <c r="O29" s="409">
        <f>SUM(O26:O28)</f>
        <v>32000</v>
      </c>
      <c r="P29" s="380"/>
      <c r="S29" s="420" t="s">
        <v>443</v>
      </c>
      <c r="T29" s="421">
        <v>7900.0</v>
      </c>
      <c r="U29" s="422" t="s">
        <v>444</v>
      </c>
      <c r="V29" s="422">
        <f>'MK Assumptions'!N$3+(T29-'MK Assumptions'!L$3)*(('MK Assumptions'!O$3-'MK Assumptions'!N$3)/('MK Assumptions'!M$3-'MK Assumptions'!L$3))</f>
        <v>1290</v>
      </c>
      <c r="W29" s="423">
        <f>SUM(V29:V33)</f>
        <v>8137.333333</v>
      </c>
      <c r="X29" s="424">
        <v>0.01</v>
      </c>
    </row>
    <row r="30" ht="14.25" customHeight="1">
      <c r="B30" s="379" t="s">
        <v>394</v>
      </c>
      <c r="C30" s="380"/>
      <c r="D30" s="380"/>
      <c r="E30" s="380"/>
      <c r="F30" s="380"/>
      <c r="G30" s="380"/>
      <c r="H30" s="380"/>
      <c r="I30" s="380"/>
      <c r="J30" s="380"/>
      <c r="K30" s="380"/>
      <c r="L30" s="380"/>
      <c r="M30" s="380"/>
      <c r="N30" s="380"/>
      <c r="O30" s="425">
        <v>20000.0</v>
      </c>
      <c r="P30" s="380"/>
      <c r="S30" s="420" t="s">
        <v>445</v>
      </c>
      <c r="T30" s="421">
        <v>2090.0</v>
      </c>
      <c r="U30" s="422" t="s">
        <v>444</v>
      </c>
      <c r="V30" s="422">
        <f>'MK Assumptions'!N$3+(T30-'MK Assumptions'!L$3)*(('MK Assumptions'!O$3-'MK Assumptions'!N$3)/('MK Assumptions'!M$3-'MK Assumptions'!L$3))</f>
        <v>709</v>
      </c>
      <c r="W30" s="426"/>
      <c r="X30" s="427"/>
    </row>
    <row r="31" ht="14.25" customHeight="1">
      <c r="B31" s="355" t="s">
        <v>395</v>
      </c>
      <c r="C31" s="365"/>
      <c r="D31" s="365"/>
      <c r="E31" s="365"/>
      <c r="F31" s="365"/>
      <c r="G31" s="365"/>
      <c r="H31" s="365"/>
      <c r="I31" s="365"/>
      <c r="J31" s="365"/>
      <c r="K31" s="365"/>
      <c r="L31" s="365"/>
      <c r="M31" s="365"/>
      <c r="N31" s="428"/>
      <c r="O31" s="429">
        <f>O30+O29+O24</f>
        <v>268280.3333</v>
      </c>
      <c r="P31" s="366"/>
      <c r="Q31" s="367"/>
      <c r="S31" s="420" t="s">
        <v>446</v>
      </c>
      <c r="T31" s="421">
        <v>13400.0</v>
      </c>
      <c r="U31" s="430" t="s">
        <v>444</v>
      </c>
      <c r="V31" s="422">
        <f>'MK Assumptions'!N$3+(T31-'MK Assumptions'!L$3)*(('MK Assumptions'!O$3-'MK Assumptions'!N$3)/('MK Assumptions'!M$3-'MK Assumptions'!L$3))</f>
        <v>1840</v>
      </c>
      <c r="W31" s="426"/>
      <c r="X31" s="431"/>
    </row>
    <row r="32" ht="18.0" customHeight="1">
      <c r="N32" s="432" t="s">
        <v>447</v>
      </c>
      <c r="O32" s="433">
        <f>O31/'MK Sales Projections'!C16</f>
        <v>0.1646834115</v>
      </c>
      <c r="S32" s="420" t="s">
        <v>448</v>
      </c>
      <c r="T32" s="421">
        <v>16600.0</v>
      </c>
      <c r="U32" s="430" t="s">
        <v>449</v>
      </c>
      <c r="V32" s="422">
        <f>'MK Assumptions'!N$4+(T32-'MK Assumptions'!L$4)*(('MK Assumptions'!O$4-'MK Assumptions'!N$4)/('MK Assumptions'!M$4-'MK Assumptions'!L$4))</f>
        <v>1186.666667</v>
      </c>
      <c r="W32" s="426"/>
      <c r="X32" s="431"/>
    </row>
    <row r="33" ht="14.25" customHeight="1">
      <c r="S33" s="420" t="s">
        <v>450</v>
      </c>
      <c r="T33" s="421">
        <v>33100.0</v>
      </c>
      <c r="U33" s="430" t="s">
        <v>449</v>
      </c>
      <c r="V33" s="422">
        <f>'MK Assumptions'!N$4+(T33-'MK Assumptions'!L$4)*(('MK Assumptions'!O$4-'MK Assumptions'!N$4)/('MK Assumptions'!M$4-'MK Assumptions'!L$4))</f>
        <v>3111.666667</v>
      </c>
      <c r="W33" s="426"/>
      <c r="X33" s="431"/>
    </row>
    <row r="34" ht="14.25" customHeight="1">
      <c r="P34" s="360" t="s">
        <v>396</v>
      </c>
      <c r="Q34" s="361">
        <f>'MK Sales Projections'!D5</f>
        <v>13533202.35</v>
      </c>
    </row>
    <row r="35" ht="14.25" customHeight="1">
      <c r="B35" s="53" t="s">
        <v>33</v>
      </c>
      <c r="C35" s="54" t="s">
        <v>378</v>
      </c>
      <c r="D35" s="54" t="s">
        <v>379</v>
      </c>
      <c r="E35" s="54" t="s">
        <v>380</v>
      </c>
      <c r="F35" s="54" t="s">
        <v>381</v>
      </c>
      <c r="G35" s="54" t="s">
        <v>382</v>
      </c>
      <c r="H35" s="54" t="s">
        <v>383</v>
      </c>
      <c r="I35" s="54" t="s">
        <v>384</v>
      </c>
      <c r="J35" s="54" t="s">
        <v>385</v>
      </c>
      <c r="K35" s="54" t="s">
        <v>386</v>
      </c>
      <c r="L35" s="54" t="s">
        <v>387</v>
      </c>
      <c r="M35" s="54" t="s">
        <v>388</v>
      </c>
      <c r="N35" s="54" t="s">
        <v>389</v>
      </c>
      <c r="O35" s="54" t="s">
        <v>390</v>
      </c>
      <c r="P35" s="54" t="s">
        <v>391</v>
      </c>
      <c r="Q35" s="55" t="s">
        <v>451</v>
      </c>
      <c r="S35" s="1" t="s">
        <v>452</v>
      </c>
      <c r="T35" s="3"/>
    </row>
    <row r="36" ht="14.25" customHeight="1">
      <c r="B36" s="355" t="s">
        <v>398</v>
      </c>
      <c r="C36" s="365"/>
      <c r="D36" s="365"/>
      <c r="E36" s="365"/>
      <c r="F36" s="365"/>
      <c r="G36" s="365"/>
      <c r="H36" s="365"/>
      <c r="I36" s="365"/>
      <c r="J36" s="365"/>
      <c r="K36" s="365"/>
      <c r="L36" s="365"/>
      <c r="M36" s="365"/>
      <c r="N36" s="365"/>
      <c r="O36" s="366"/>
      <c r="P36" s="366"/>
      <c r="Q36" s="367"/>
      <c r="S36" s="355" t="s">
        <v>399</v>
      </c>
      <c r="T36" s="368" t="s">
        <v>400</v>
      </c>
      <c r="U36" s="355" t="s">
        <v>401</v>
      </c>
      <c r="V36" s="368" t="s">
        <v>402</v>
      </c>
      <c r="W36" s="369" t="s">
        <v>403</v>
      </c>
    </row>
    <row r="37" ht="14.25" customHeight="1">
      <c r="B37" s="394" t="s">
        <v>404</v>
      </c>
      <c r="C37" s="380"/>
      <c r="D37" s="380"/>
      <c r="E37" s="380"/>
      <c r="F37" s="380"/>
      <c r="G37" s="380"/>
      <c r="H37" s="380"/>
      <c r="I37" s="380"/>
      <c r="J37" s="380"/>
      <c r="K37" s="380"/>
      <c r="L37" s="380"/>
      <c r="M37" s="380"/>
      <c r="N37" s="380"/>
      <c r="O37" s="395"/>
      <c r="P37" s="380"/>
      <c r="Q37" s="373"/>
      <c r="S37" s="374" t="s">
        <v>405</v>
      </c>
      <c r="T37" s="375">
        <v>1050.0</v>
      </c>
      <c r="U37" s="376">
        <v>9.0</v>
      </c>
      <c r="V37" s="377">
        <v>4.0</v>
      </c>
      <c r="W37" s="378">
        <v>4.0E-4</v>
      </c>
    </row>
    <row r="38" ht="14.25" customHeight="1">
      <c r="B38" s="379" t="s">
        <v>406</v>
      </c>
      <c r="C38" s="380"/>
      <c r="D38" s="380"/>
      <c r="E38" s="380"/>
      <c r="F38" s="381"/>
      <c r="G38" s="381"/>
      <c r="H38" s="381"/>
      <c r="I38" s="381"/>
      <c r="J38" s="381"/>
      <c r="K38" s="381"/>
      <c r="L38" s="381"/>
      <c r="M38" s="380"/>
      <c r="N38" s="380"/>
      <c r="O38" s="373">
        <f t="shared" ref="O38:O40" si="6">T46</f>
        <v>10000</v>
      </c>
      <c r="P38" s="382">
        <f t="shared" ref="P38:P39" si="7">X46</f>
        <v>0.01024118938</v>
      </c>
      <c r="Q38" s="373">
        <v>9.1</v>
      </c>
      <c r="S38" s="374" t="s">
        <v>411</v>
      </c>
      <c r="T38" s="383">
        <v>2475.0</v>
      </c>
    </row>
    <row r="39" ht="14.25" customHeight="1">
      <c r="B39" s="379" t="s">
        <v>408</v>
      </c>
      <c r="C39" s="380"/>
      <c r="D39" s="380"/>
      <c r="E39" s="380"/>
      <c r="F39" s="384"/>
      <c r="G39" s="384"/>
      <c r="H39" s="384"/>
      <c r="I39" s="384"/>
      <c r="J39" s="384"/>
      <c r="K39" s="384"/>
      <c r="L39" s="384"/>
      <c r="M39" s="380"/>
      <c r="N39" s="380"/>
      <c r="O39" s="373">
        <f t="shared" si="6"/>
        <v>10000</v>
      </c>
      <c r="P39" s="382">
        <f t="shared" si="7"/>
        <v>0.009707794098</v>
      </c>
      <c r="Q39" s="373">
        <v>9.6</v>
      </c>
      <c r="S39" s="374" t="s">
        <v>453</v>
      </c>
      <c r="T39" s="383">
        <v>555.0</v>
      </c>
    </row>
    <row r="40" ht="14.25" customHeight="1">
      <c r="B40" s="379" t="s">
        <v>410</v>
      </c>
      <c r="C40" s="380"/>
      <c r="D40" s="380"/>
      <c r="E40" s="380"/>
      <c r="F40" s="385"/>
      <c r="G40" s="385"/>
      <c r="H40" s="385"/>
      <c r="I40" s="385"/>
      <c r="J40" s="385"/>
      <c r="K40" s="385"/>
      <c r="L40" s="385"/>
      <c r="M40" s="380"/>
      <c r="N40" s="380"/>
      <c r="O40" s="373">
        <f t="shared" si="6"/>
        <v>20000</v>
      </c>
      <c r="P40" s="386">
        <f>(O40/Q40)/Q34</f>
        <v>0.001477846816</v>
      </c>
      <c r="Q40" s="373">
        <v>1.0</v>
      </c>
      <c r="S40" s="374" t="s">
        <v>413</v>
      </c>
      <c r="T40" s="383">
        <v>1804.0</v>
      </c>
    </row>
    <row r="41" ht="14.25" customHeight="1">
      <c r="B41" s="379" t="s">
        <v>412</v>
      </c>
      <c r="C41" s="387"/>
      <c r="D41" s="387"/>
      <c r="E41" s="387"/>
      <c r="F41" s="387"/>
      <c r="G41" s="387"/>
      <c r="H41" s="387"/>
      <c r="I41" s="387"/>
      <c r="J41" s="387"/>
      <c r="K41" s="387"/>
      <c r="L41" s="387"/>
      <c r="M41" s="387"/>
      <c r="N41" s="387"/>
      <c r="O41" s="373">
        <f t="shared" ref="O41:P41" si="8">W53</f>
        <v>14148.7619</v>
      </c>
      <c r="P41" s="388">
        <f t="shared" si="8"/>
        <v>0.02</v>
      </c>
      <c r="Q41" s="373"/>
      <c r="S41" s="389" t="s">
        <v>454</v>
      </c>
      <c r="T41" s="390">
        <v>535.0</v>
      </c>
    </row>
    <row r="42" ht="14.25" customHeight="1">
      <c r="B42" s="379" t="s">
        <v>414</v>
      </c>
      <c r="C42" s="391"/>
      <c r="D42" s="391"/>
      <c r="E42" s="391"/>
      <c r="F42" s="391"/>
      <c r="G42" s="391"/>
      <c r="H42" s="391"/>
      <c r="I42" s="391"/>
      <c r="J42" s="391"/>
      <c r="K42" s="391"/>
      <c r="L42" s="391"/>
      <c r="M42" s="391"/>
      <c r="N42" s="391"/>
      <c r="O42" s="392">
        <f>5*T42*U37*V37</f>
        <v>231084</v>
      </c>
      <c r="P42" s="382">
        <f>O42/1000*W37</f>
        <v>0.0924336</v>
      </c>
      <c r="Q42" s="373"/>
      <c r="S42" s="355" t="s">
        <v>415</v>
      </c>
      <c r="T42" s="393">
        <f>AVERAGE(T37:T41)</f>
        <v>1283.8</v>
      </c>
    </row>
    <row r="43" ht="14.25" customHeight="1">
      <c r="B43" s="394" t="s">
        <v>416</v>
      </c>
      <c r="C43" s="380"/>
      <c r="D43" s="380"/>
      <c r="E43" s="380"/>
      <c r="F43" s="380"/>
      <c r="G43" s="380"/>
      <c r="H43" s="380"/>
      <c r="I43" s="380"/>
      <c r="J43" s="380"/>
      <c r="K43" s="380"/>
      <c r="L43" s="380"/>
      <c r="M43" s="380"/>
      <c r="N43" s="380"/>
      <c r="O43" s="395"/>
      <c r="P43" s="380"/>
      <c r="Q43" s="373"/>
    </row>
    <row r="44" ht="14.25" customHeight="1">
      <c r="B44" s="379" t="s">
        <v>393</v>
      </c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73">
        <v>2000.0</v>
      </c>
      <c r="P44" s="388">
        <v>0.0</v>
      </c>
      <c r="Q44" s="373"/>
      <c r="S44" s="199" t="s">
        <v>455</v>
      </c>
      <c r="T44" s="397"/>
    </row>
    <row r="45" ht="14.25" customHeight="1">
      <c r="B45" s="394" t="s">
        <v>418</v>
      </c>
      <c r="C45" s="380"/>
      <c r="D45" s="380"/>
      <c r="E45" s="380"/>
      <c r="F45" s="380"/>
      <c r="G45" s="380"/>
      <c r="H45" s="380"/>
      <c r="I45" s="380"/>
      <c r="J45" s="380"/>
      <c r="K45" s="380"/>
      <c r="L45" s="380"/>
      <c r="M45" s="380"/>
      <c r="N45" s="380"/>
      <c r="O45" s="395"/>
      <c r="P45" s="380"/>
      <c r="Q45" s="373"/>
      <c r="S45" s="398" t="s">
        <v>419</v>
      </c>
      <c r="T45" s="399" t="s">
        <v>420</v>
      </c>
      <c r="U45" s="399" t="s">
        <v>421</v>
      </c>
      <c r="V45" s="399" t="s">
        <v>422</v>
      </c>
      <c r="W45" s="399" t="s">
        <v>423</v>
      </c>
      <c r="X45" s="400" t="s">
        <v>391</v>
      </c>
    </row>
    <row r="46" ht="14.25" customHeight="1">
      <c r="B46" s="379" t="s">
        <v>424</v>
      </c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5"/>
      <c r="O46" s="373">
        <v>0.0</v>
      </c>
      <c r="P46" s="434">
        <v>0.015</v>
      </c>
      <c r="Q46" s="373"/>
      <c r="S46" s="401" t="s">
        <v>425</v>
      </c>
      <c r="T46" s="402">
        <v>10000.0</v>
      </c>
      <c r="U46" s="403">
        <f>(T46/Q38)*U49</f>
        <v>1098901.099</v>
      </c>
      <c r="V46" s="403">
        <f>U46*V49</f>
        <v>549450.5495</v>
      </c>
      <c r="W46" s="403">
        <f>V46/W49</f>
        <v>137362.6374</v>
      </c>
      <c r="X46" s="404">
        <f t="shared" ref="X46:X47" si="9">W46/$Q$10</f>
        <v>0.01024118938</v>
      </c>
    </row>
    <row r="47" ht="14.25" customHeight="1">
      <c r="B47" s="379" t="s">
        <v>426</v>
      </c>
      <c r="C47" s="405"/>
      <c r="D47" s="405"/>
      <c r="E47" s="405"/>
      <c r="F47" s="405"/>
      <c r="G47" s="405"/>
      <c r="H47" s="405"/>
      <c r="I47" s="405"/>
      <c r="J47" s="405"/>
      <c r="K47" s="405"/>
      <c r="L47" s="405"/>
      <c r="M47" s="405"/>
      <c r="N47" s="405"/>
      <c r="O47" s="373">
        <v>5000.0</v>
      </c>
      <c r="P47" s="388">
        <v>0.01</v>
      </c>
      <c r="Q47" s="373"/>
      <c r="S47" s="374" t="s">
        <v>427</v>
      </c>
      <c r="T47" s="375">
        <v>10000.0</v>
      </c>
      <c r="U47" s="406">
        <f>T47/Q39*U49</f>
        <v>1041666.667</v>
      </c>
      <c r="V47" s="406">
        <f>U47*V49</f>
        <v>520833.3333</v>
      </c>
      <c r="W47" s="406">
        <f>V47/W49</f>
        <v>130208.3333</v>
      </c>
      <c r="X47" s="407">
        <f t="shared" si="9"/>
        <v>0.009707794098</v>
      </c>
    </row>
    <row r="48" ht="14.25" customHeight="1">
      <c r="B48" s="408" t="s">
        <v>428</v>
      </c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M48" s="380"/>
      <c r="N48" s="380"/>
      <c r="O48" s="409">
        <f t="shared" ref="O48:P48" si="10">SUM(O38:O47)</f>
        <v>292232.7619</v>
      </c>
      <c r="P48" s="410">
        <f t="shared" si="10"/>
        <v>0.1588604303</v>
      </c>
      <c r="Q48" s="373"/>
      <c r="S48" s="389" t="s">
        <v>429</v>
      </c>
      <c r="T48" s="411">
        <v>20000.0</v>
      </c>
      <c r="U48" s="412"/>
      <c r="V48" s="411"/>
      <c r="W48" s="412"/>
      <c r="X48" s="413"/>
    </row>
    <row r="49" ht="14.25" customHeight="1">
      <c r="B49" s="355" t="s">
        <v>430</v>
      </c>
      <c r="C49" s="365"/>
      <c r="D49" s="365"/>
      <c r="E49" s="365"/>
      <c r="F49" s="365"/>
      <c r="G49" s="365"/>
      <c r="H49" s="365"/>
      <c r="I49" s="365"/>
      <c r="J49" s="365"/>
      <c r="K49" s="365"/>
      <c r="L49" s="365"/>
      <c r="M49" s="365"/>
      <c r="N49" s="365"/>
      <c r="O49" s="366"/>
      <c r="P49" s="366"/>
      <c r="Q49" s="367"/>
      <c r="T49" s="188" t="s">
        <v>431</v>
      </c>
      <c r="U49" s="414">
        <v>1000.0</v>
      </c>
      <c r="V49" s="415">
        <v>0.5</v>
      </c>
      <c r="W49" s="416">
        <v>4.0</v>
      </c>
    </row>
    <row r="50" ht="14.25" customHeight="1">
      <c r="B50" s="379" t="s">
        <v>432</v>
      </c>
      <c r="C50" s="380"/>
      <c r="D50" s="380"/>
      <c r="E50" s="380"/>
      <c r="F50" s="380"/>
      <c r="G50" s="380"/>
      <c r="H50" s="380"/>
      <c r="I50" s="380"/>
      <c r="J50" s="417"/>
      <c r="K50" s="380"/>
      <c r="L50" s="380"/>
      <c r="M50" s="380"/>
      <c r="N50" s="380"/>
      <c r="O50" s="373">
        <v>16000.0</v>
      </c>
      <c r="P50" s="380"/>
    </row>
    <row r="51" ht="14.25" customHeight="1">
      <c r="B51" s="379" t="s">
        <v>433</v>
      </c>
      <c r="C51" s="380"/>
      <c r="D51" s="380"/>
      <c r="E51" s="380"/>
      <c r="F51" s="418"/>
      <c r="G51" s="380"/>
      <c r="H51" s="380"/>
      <c r="I51" s="380"/>
      <c r="J51" s="380"/>
      <c r="K51" s="380"/>
      <c r="L51" s="380"/>
      <c r="M51" s="380"/>
      <c r="N51" s="380"/>
      <c r="O51" s="373">
        <v>16000.0</v>
      </c>
      <c r="P51" s="380"/>
      <c r="S51" s="199" t="s">
        <v>456</v>
      </c>
      <c r="T51" s="397"/>
    </row>
    <row r="52" ht="14.25" customHeight="1">
      <c r="B52" s="379" t="s">
        <v>435</v>
      </c>
      <c r="C52" s="380"/>
      <c r="D52" s="380"/>
      <c r="E52" s="380"/>
      <c r="F52" s="380"/>
      <c r="G52" s="380"/>
      <c r="H52" s="380"/>
      <c r="I52" s="380"/>
      <c r="J52" s="380"/>
      <c r="K52" s="380"/>
      <c r="L52" s="380"/>
      <c r="M52" s="380"/>
      <c r="N52" s="380"/>
      <c r="O52" s="373">
        <v>0.0</v>
      </c>
      <c r="P52" s="380"/>
      <c r="S52" s="419" t="s">
        <v>436</v>
      </c>
      <c r="T52" s="419" t="s">
        <v>457</v>
      </c>
      <c r="U52" s="419" t="s">
        <v>271</v>
      </c>
      <c r="V52" s="419" t="s">
        <v>439</v>
      </c>
      <c r="W52" s="419" t="s">
        <v>440</v>
      </c>
      <c r="X52" s="419" t="s">
        <v>441</v>
      </c>
    </row>
    <row r="53" ht="14.25" customHeight="1">
      <c r="B53" s="408" t="s">
        <v>442</v>
      </c>
      <c r="C53" s="380"/>
      <c r="D53" s="380"/>
      <c r="E53" s="380"/>
      <c r="F53" s="380"/>
      <c r="G53" s="380"/>
      <c r="H53" s="380"/>
      <c r="I53" s="380"/>
      <c r="J53" s="380"/>
      <c r="K53" s="380"/>
      <c r="L53" s="380"/>
      <c r="M53" s="380"/>
      <c r="N53" s="380"/>
      <c r="O53" s="409">
        <f>SUM(O50:O52)</f>
        <v>32000</v>
      </c>
      <c r="P53" s="380"/>
      <c r="S53" s="420" t="s">
        <v>443</v>
      </c>
      <c r="T53" s="421">
        <v>7900.0</v>
      </c>
      <c r="U53" s="422" t="s">
        <v>444</v>
      </c>
      <c r="V53" s="422">
        <f>'MK Assumptions'!N$3+(T53-'MK Assumptions'!L$3)*(('MK Assumptions'!O$3-'MK Assumptions'!N$3)/('MK Assumptions'!M$3-'MK Assumptions'!L$3))</f>
        <v>1290</v>
      </c>
      <c r="W53" s="423">
        <f>SUM(V53:V58)</f>
        <v>14148.7619</v>
      </c>
      <c r="X53" s="424">
        <v>0.02</v>
      </c>
    </row>
    <row r="54" ht="14.25" customHeight="1">
      <c r="B54" s="379" t="s">
        <v>394</v>
      </c>
      <c r="C54" s="380"/>
      <c r="D54" s="380"/>
      <c r="E54" s="380"/>
      <c r="F54" s="380"/>
      <c r="G54" s="380"/>
      <c r="H54" s="380"/>
      <c r="I54" s="380"/>
      <c r="J54" s="380"/>
      <c r="K54" s="380"/>
      <c r="L54" s="380"/>
      <c r="M54" s="380"/>
      <c r="N54" s="380"/>
      <c r="O54" s="425">
        <v>20000.0</v>
      </c>
      <c r="P54" s="380"/>
      <c r="S54" s="420" t="s">
        <v>445</v>
      </c>
      <c r="T54" s="421">
        <v>2090.0</v>
      </c>
      <c r="U54" s="422" t="s">
        <v>444</v>
      </c>
      <c r="V54" s="422">
        <f>'MK Assumptions'!N$3+(T54-'MK Assumptions'!L$3)*(('MK Assumptions'!O$3-'MK Assumptions'!N$3)/('MK Assumptions'!M$3-'MK Assumptions'!L$3))</f>
        <v>709</v>
      </c>
      <c r="W54" s="426"/>
      <c r="X54" s="427"/>
    </row>
    <row r="55" ht="14.25" customHeight="1">
      <c r="B55" s="355" t="s">
        <v>395</v>
      </c>
      <c r="C55" s="365"/>
      <c r="D55" s="365"/>
      <c r="E55" s="365"/>
      <c r="F55" s="365"/>
      <c r="G55" s="365"/>
      <c r="H55" s="365"/>
      <c r="I55" s="365"/>
      <c r="J55" s="365"/>
      <c r="K55" s="365"/>
      <c r="L55" s="365"/>
      <c r="M55" s="365"/>
      <c r="N55" s="365"/>
      <c r="O55" s="435">
        <f>O54+O53+O48</f>
        <v>344232.7619</v>
      </c>
      <c r="P55" s="366"/>
      <c r="Q55" s="367"/>
      <c r="S55" s="420" t="s">
        <v>446</v>
      </c>
      <c r="T55" s="421">
        <v>13400.0</v>
      </c>
      <c r="U55" s="430" t="s">
        <v>444</v>
      </c>
      <c r="V55" s="422">
        <f>'MK Assumptions'!N$3+(T55-'MK Assumptions'!L$3)*(('MK Assumptions'!O$3-'MK Assumptions'!N$3)/('MK Assumptions'!M$3-'MK Assumptions'!L$3))</f>
        <v>1840</v>
      </c>
      <c r="W55" s="426"/>
      <c r="X55" s="431"/>
    </row>
    <row r="56" ht="18.75" customHeight="1">
      <c r="N56" s="432" t="s">
        <v>447</v>
      </c>
      <c r="O56" s="433">
        <f>O55/'MK Sales Projections'!D16</f>
        <v>0.1247870199</v>
      </c>
      <c r="S56" s="420" t="s">
        <v>448</v>
      </c>
      <c r="T56" s="421">
        <v>16600.0</v>
      </c>
      <c r="U56" s="430" t="s">
        <v>449</v>
      </c>
      <c r="V56" s="422">
        <f>'MK Assumptions'!N$4+(T56-'MK Assumptions'!L$4)*(('MK Assumptions'!O$4-'MK Assumptions'!N$4)/('MK Assumptions'!M$4-'MK Assumptions'!L$4))</f>
        <v>1186.666667</v>
      </c>
      <c r="W56" s="426"/>
      <c r="X56" s="431"/>
    </row>
    <row r="57" ht="14.25" customHeight="1">
      <c r="S57" s="420" t="s">
        <v>450</v>
      </c>
      <c r="T57" s="421">
        <v>33100.0</v>
      </c>
      <c r="U57" s="430" t="s">
        <v>449</v>
      </c>
      <c r="V57" s="422">
        <f>'MK Assumptions'!N$4+(T57-'MK Assumptions'!L$4)*(('MK Assumptions'!O$4-'MK Assumptions'!N$4)/('MK Assumptions'!M$4-'MK Assumptions'!L$4))</f>
        <v>3111.666667</v>
      </c>
      <c r="W57" s="426"/>
      <c r="X57" s="431"/>
    </row>
    <row r="58" ht="14.25" customHeight="1">
      <c r="P58" s="360" t="s">
        <v>396</v>
      </c>
      <c r="Q58" s="361">
        <f>'MK Sales Projections'!E5</f>
        <v>13621162.95</v>
      </c>
      <c r="S58" s="436" t="s">
        <v>458</v>
      </c>
      <c r="T58" s="421">
        <v>86800.0</v>
      </c>
      <c r="U58" s="430" t="s">
        <v>459</v>
      </c>
      <c r="V58" s="422">
        <f>'MK Assumptions'!N$5+(T58-'MK Assumptions'!L$5)*(('MK Assumptions'!O$5-'MK Assumptions'!N$5)/('MK Assumptions'!M$5-'MK Assumptions'!L$5))</f>
        <v>6011.428571</v>
      </c>
    </row>
    <row r="59" ht="14.25" customHeight="1">
      <c r="B59" s="53" t="s">
        <v>34</v>
      </c>
      <c r="C59" s="54" t="s">
        <v>378</v>
      </c>
      <c r="D59" s="54" t="s">
        <v>379</v>
      </c>
      <c r="E59" s="54" t="s">
        <v>380</v>
      </c>
      <c r="F59" s="54" t="s">
        <v>381</v>
      </c>
      <c r="G59" s="54" t="s">
        <v>382</v>
      </c>
      <c r="H59" s="54" t="s">
        <v>383</v>
      </c>
      <c r="I59" s="54" t="s">
        <v>384</v>
      </c>
      <c r="J59" s="54" t="s">
        <v>385</v>
      </c>
      <c r="K59" s="54" t="s">
        <v>386</v>
      </c>
      <c r="L59" s="54" t="s">
        <v>387</v>
      </c>
      <c r="M59" s="54" t="s">
        <v>388</v>
      </c>
      <c r="N59" s="54" t="s">
        <v>389</v>
      </c>
      <c r="O59" s="54" t="s">
        <v>390</v>
      </c>
      <c r="P59" s="54" t="s">
        <v>391</v>
      </c>
      <c r="Q59" s="55" t="s">
        <v>451</v>
      </c>
      <c r="S59" s="1" t="s">
        <v>460</v>
      </c>
      <c r="T59" s="3"/>
    </row>
    <row r="60" ht="14.25" customHeight="1">
      <c r="B60" s="355" t="s">
        <v>398</v>
      </c>
      <c r="C60" s="365"/>
      <c r="D60" s="365"/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6"/>
      <c r="P60" s="366"/>
      <c r="Q60" s="367"/>
      <c r="S60" s="355" t="s">
        <v>399</v>
      </c>
      <c r="T60" s="368" t="s">
        <v>400</v>
      </c>
      <c r="U60" s="355" t="s">
        <v>401</v>
      </c>
      <c r="V60" s="368" t="s">
        <v>402</v>
      </c>
      <c r="W60" s="369" t="s">
        <v>403</v>
      </c>
    </row>
    <row r="61" ht="14.25" customHeight="1">
      <c r="B61" s="394" t="s">
        <v>404</v>
      </c>
      <c r="C61" s="380"/>
      <c r="D61" s="380"/>
      <c r="E61" s="380"/>
      <c r="F61" s="380"/>
      <c r="G61" s="380"/>
      <c r="H61" s="380"/>
      <c r="I61" s="380"/>
      <c r="J61" s="380"/>
      <c r="K61" s="380"/>
      <c r="L61" s="380"/>
      <c r="M61" s="380"/>
      <c r="N61" s="380"/>
      <c r="O61" s="395"/>
      <c r="P61" s="380"/>
      <c r="Q61" s="373"/>
      <c r="S61" s="374" t="s">
        <v>405</v>
      </c>
      <c r="T61" s="375">
        <v>1050.0</v>
      </c>
      <c r="U61" s="376">
        <v>8.0</v>
      </c>
      <c r="V61" s="377">
        <v>4.0</v>
      </c>
      <c r="W61" s="378">
        <v>4.0E-4</v>
      </c>
    </row>
    <row r="62" ht="14.25" customHeight="1">
      <c r="B62" s="379" t="s">
        <v>461</v>
      </c>
      <c r="C62" s="380"/>
      <c r="D62" s="380"/>
      <c r="E62" s="380"/>
      <c r="F62" s="381"/>
      <c r="G62" s="381"/>
      <c r="H62" s="381"/>
      <c r="I62" s="381"/>
      <c r="J62" s="381"/>
      <c r="K62" s="381"/>
      <c r="L62" s="381"/>
      <c r="M62" s="380"/>
      <c r="N62" s="380"/>
      <c r="O62" s="373">
        <f t="shared" ref="O62:O64" si="11">T70</f>
        <v>20000</v>
      </c>
      <c r="P62" s="382">
        <f t="shared" ref="P62:P63" si="12">X70</f>
        <v>0.02048237876</v>
      </c>
      <c r="Q62" s="373">
        <v>9.1</v>
      </c>
      <c r="S62" s="374" t="s">
        <v>411</v>
      </c>
      <c r="T62" s="383">
        <v>2745.0</v>
      </c>
    </row>
    <row r="63" ht="14.25" customHeight="1">
      <c r="B63" s="379" t="s">
        <v>408</v>
      </c>
      <c r="C63" s="380"/>
      <c r="D63" s="380"/>
      <c r="E63" s="380"/>
      <c r="F63" s="384"/>
      <c r="G63" s="384"/>
      <c r="H63" s="384"/>
      <c r="I63" s="384"/>
      <c r="J63" s="384"/>
      <c r="K63" s="384"/>
      <c r="L63" s="384"/>
      <c r="M63" s="380"/>
      <c r="N63" s="380"/>
      <c r="O63" s="373">
        <f t="shared" si="11"/>
        <v>20000</v>
      </c>
      <c r="P63" s="382">
        <f t="shared" si="12"/>
        <v>0.0194155882</v>
      </c>
      <c r="Q63" s="373">
        <v>9.6</v>
      </c>
      <c r="S63" s="374" t="s">
        <v>413</v>
      </c>
      <c r="T63" s="383">
        <v>1804.0</v>
      </c>
    </row>
    <row r="64" ht="14.25" customHeight="1">
      <c r="B64" s="379" t="s">
        <v>410</v>
      </c>
      <c r="C64" s="380"/>
      <c r="D64" s="380"/>
      <c r="E64" s="380"/>
      <c r="F64" s="385"/>
      <c r="G64" s="385"/>
      <c r="H64" s="385"/>
      <c r="I64" s="385"/>
      <c r="J64" s="385"/>
      <c r="K64" s="385"/>
      <c r="L64" s="385"/>
      <c r="M64" s="380"/>
      <c r="N64" s="380"/>
      <c r="O64" s="373">
        <f t="shared" si="11"/>
        <v>40000</v>
      </c>
      <c r="P64" s="386">
        <f>(O64/Q64)/Q58</f>
        <v>0.002936606819</v>
      </c>
      <c r="Q64" s="373">
        <v>1.0</v>
      </c>
      <c r="S64" s="374" t="s">
        <v>462</v>
      </c>
      <c r="T64" s="383">
        <v>1010.0</v>
      </c>
    </row>
    <row r="65" ht="14.25" customHeight="1">
      <c r="B65" s="379" t="s">
        <v>412</v>
      </c>
      <c r="C65" s="387"/>
      <c r="D65" s="387"/>
      <c r="E65" s="387"/>
      <c r="F65" s="387"/>
      <c r="G65" s="387"/>
      <c r="H65" s="387"/>
      <c r="I65" s="387"/>
      <c r="J65" s="387"/>
      <c r="K65" s="387"/>
      <c r="L65" s="387"/>
      <c r="M65" s="387"/>
      <c r="N65" s="387"/>
      <c r="O65" s="373">
        <f t="shared" ref="O65:P65" si="13">W77</f>
        <v>31156.42857</v>
      </c>
      <c r="P65" s="388">
        <f t="shared" si="13"/>
        <v>0.03</v>
      </c>
      <c r="Q65" s="373"/>
      <c r="S65" s="389" t="s">
        <v>463</v>
      </c>
      <c r="T65" s="390">
        <v>475.0</v>
      </c>
    </row>
    <row r="66" ht="14.25" customHeight="1">
      <c r="B66" s="379" t="s">
        <v>414</v>
      </c>
      <c r="C66" s="391"/>
      <c r="D66" s="391"/>
      <c r="E66" s="391"/>
      <c r="F66" s="391"/>
      <c r="G66" s="391"/>
      <c r="H66" s="391"/>
      <c r="I66" s="391"/>
      <c r="J66" s="391"/>
      <c r="K66" s="391"/>
      <c r="L66" s="391"/>
      <c r="M66" s="391"/>
      <c r="N66" s="391"/>
      <c r="O66" s="392">
        <f>5*T66*U61*V61</f>
        <v>226688</v>
      </c>
      <c r="P66" s="382">
        <f>O66/1000*W61</f>
        <v>0.0906752</v>
      </c>
      <c r="Q66" s="373"/>
      <c r="S66" s="355" t="s">
        <v>415</v>
      </c>
      <c r="T66" s="393">
        <f>AVERAGE(T61:T65)</f>
        <v>1416.8</v>
      </c>
    </row>
    <row r="67" ht="14.25" customHeight="1">
      <c r="B67" s="394" t="s">
        <v>416</v>
      </c>
      <c r="C67" s="380"/>
      <c r="D67" s="380"/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95"/>
      <c r="P67" s="380"/>
      <c r="Q67" s="373"/>
    </row>
    <row r="68" ht="14.25" customHeight="1">
      <c r="B68" s="379" t="s">
        <v>393</v>
      </c>
      <c r="C68" s="396"/>
      <c r="D68" s="396"/>
      <c r="E68" s="396"/>
      <c r="F68" s="396"/>
      <c r="G68" s="396"/>
      <c r="H68" s="396"/>
      <c r="I68" s="396"/>
      <c r="J68" s="396"/>
      <c r="K68" s="396"/>
      <c r="L68" s="396"/>
      <c r="M68" s="396"/>
      <c r="N68" s="396"/>
      <c r="O68" s="373">
        <v>2000.0</v>
      </c>
      <c r="P68" s="388">
        <v>0.0</v>
      </c>
      <c r="Q68" s="373"/>
      <c r="S68" s="199" t="s">
        <v>464</v>
      </c>
      <c r="T68" s="397"/>
    </row>
    <row r="69" ht="14.25" customHeight="1">
      <c r="B69" s="394" t="s">
        <v>418</v>
      </c>
      <c r="C69" s="380"/>
      <c r="D69" s="380"/>
      <c r="E69" s="380"/>
      <c r="F69" s="380"/>
      <c r="G69" s="380"/>
      <c r="H69" s="380"/>
      <c r="I69" s="380"/>
      <c r="J69" s="380"/>
      <c r="K69" s="380"/>
      <c r="L69" s="380"/>
      <c r="M69" s="380"/>
      <c r="N69" s="380"/>
      <c r="O69" s="395"/>
      <c r="P69" s="380"/>
      <c r="Q69" s="373"/>
      <c r="S69" s="398" t="s">
        <v>419</v>
      </c>
      <c r="T69" s="399" t="s">
        <v>420</v>
      </c>
      <c r="U69" s="399" t="s">
        <v>421</v>
      </c>
      <c r="V69" s="399" t="s">
        <v>422</v>
      </c>
      <c r="W69" s="399" t="s">
        <v>423</v>
      </c>
      <c r="X69" s="400" t="s">
        <v>391</v>
      </c>
    </row>
    <row r="70" ht="14.25" customHeight="1">
      <c r="B70" s="379" t="s">
        <v>424</v>
      </c>
      <c r="C70" s="385"/>
      <c r="D70" s="385"/>
      <c r="E70" s="385"/>
      <c r="F70" s="385"/>
      <c r="G70" s="385"/>
      <c r="H70" s="385"/>
      <c r="I70" s="385"/>
      <c r="J70" s="385"/>
      <c r="K70" s="385"/>
      <c r="L70" s="385"/>
      <c r="M70" s="385"/>
      <c r="N70" s="385"/>
      <c r="O70" s="373">
        <v>0.0</v>
      </c>
      <c r="P70" s="388">
        <v>0.02</v>
      </c>
      <c r="Q70" s="373"/>
      <c r="S70" s="401" t="s">
        <v>425</v>
      </c>
      <c r="T70" s="402">
        <v>20000.0</v>
      </c>
      <c r="U70" s="403">
        <f>(T70/Q62)*U73</f>
        <v>2197802.198</v>
      </c>
      <c r="V70" s="403">
        <f>U70*V73</f>
        <v>1098901.099</v>
      </c>
      <c r="W70" s="403">
        <f>V70/W73</f>
        <v>274725.2747</v>
      </c>
      <c r="X70" s="404">
        <f t="shared" ref="X70:X71" si="14">W70/$Q$10</f>
        <v>0.02048237876</v>
      </c>
    </row>
    <row r="71" ht="14.25" customHeight="1">
      <c r="B71" s="379" t="s">
        <v>426</v>
      </c>
      <c r="C71" s="405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373">
        <v>5000.0</v>
      </c>
      <c r="P71" s="388">
        <v>0.01</v>
      </c>
      <c r="Q71" s="373"/>
      <c r="S71" s="374" t="s">
        <v>427</v>
      </c>
      <c r="T71" s="375">
        <v>20000.0</v>
      </c>
      <c r="U71" s="406">
        <f>T71/Q63*U73</f>
        <v>2083333.333</v>
      </c>
      <c r="V71" s="406">
        <f>U71*V73</f>
        <v>1041666.667</v>
      </c>
      <c r="W71" s="406">
        <f>V71/W73</f>
        <v>260416.6667</v>
      </c>
      <c r="X71" s="407">
        <f t="shared" si="14"/>
        <v>0.0194155882</v>
      </c>
    </row>
    <row r="72" ht="14.25" customHeight="1">
      <c r="B72" s="408" t="s">
        <v>428</v>
      </c>
      <c r="C72" s="380"/>
      <c r="D72" s="380"/>
      <c r="E72" s="380"/>
      <c r="F72" s="380"/>
      <c r="G72" s="380"/>
      <c r="H72" s="380"/>
      <c r="I72" s="380"/>
      <c r="J72" s="380"/>
      <c r="K72" s="380"/>
      <c r="L72" s="380"/>
      <c r="M72" s="380"/>
      <c r="N72" s="380"/>
      <c r="O72" s="409">
        <f t="shared" ref="O72:P72" si="15">SUM(O62:O71)</f>
        <v>344844.4286</v>
      </c>
      <c r="P72" s="410">
        <f t="shared" si="15"/>
        <v>0.1935097738</v>
      </c>
      <c r="Q72" s="373"/>
      <c r="S72" s="389" t="s">
        <v>429</v>
      </c>
      <c r="T72" s="411">
        <v>40000.0</v>
      </c>
      <c r="U72" s="412"/>
      <c r="V72" s="411"/>
      <c r="W72" s="412"/>
      <c r="X72" s="413"/>
    </row>
    <row r="73" ht="14.25" customHeight="1">
      <c r="B73" s="355" t="s">
        <v>430</v>
      </c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6"/>
      <c r="P73" s="366"/>
      <c r="Q73" s="367"/>
      <c r="T73" s="188" t="s">
        <v>431</v>
      </c>
      <c r="U73" s="414">
        <v>1000.0</v>
      </c>
      <c r="V73" s="415">
        <v>0.5</v>
      </c>
      <c r="W73" s="416">
        <v>4.0</v>
      </c>
    </row>
    <row r="74" ht="14.25" customHeight="1">
      <c r="B74" s="379" t="s">
        <v>432</v>
      </c>
      <c r="C74" s="380"/>
      <c r="D74" s="380"/>
      <c r="E74" s="380"/>
      <c r="F74" s="380"/>
      <c r="G74" s="380"/>
      <c r="H74" s="380"/>
      <c r="I74" s="380"/>
      <c r="J74" s="417"/>
      <c r="K74" s="380"/>
      <c r="L74" s="380"/>
      <c r="M74" s="380"/>
      <c r="N74" s="380"/>
      <c r="O74" s="373">
        <v>16000.0</v>
      </c>
      <c r="P74" s="380"/>
    </row>
    <row r="75" ht="14.25" customHeight="1">
      <c r="B75" s="379" t="s">
        <v>433</v>
      </c>
      <c r="C75" s="380"/>
      <c r="D75" s="380"/>
      <c r="E75" s="380"/>
      <c r="F75" s="418"/>
      <c r="G75" s="380"/>
      <c r="H75" s="380"/>
      <c r="I75" s="380"/>
      <c r="J75" s="380"/>
      <c r="K75" s="380"/>
      <c r="L75" s="380"/>
      <c r="M75" s="380"/>
      <c r="N75" s="380"/>
      <c r="O75" s="373">
        <v>16000.0</v>
      </c>
      <c r="P75" s="380"/>
      <c r="S75" s="199" t="s">
        <v>465</v>
      </c>
      <c r="T75" s="397"/>
    </row>
    <row r="76" ht="14.25" customHeight="1">
      <c r="B76" s="379" t="s">
        <v>435</v>
      </c>
      <c r="C76" s="380"/>
      <c r="D76" s="380"/>
      <c r="E76" s="380"/>
      <c r="F76" s="380"/>
      <c r="G76" s="380"/>
      <c r="H76" s="380"/>
      <c r="I76" s="380"/>
      <c r="J76" s="380"/>
      <c r="K76" s="380"/>
      <c r="L76" s="380"/>
      <c r="M76" s="380"/>
      <c r="N76" s="380"/>
      <c r="O76" s="373">
        <v>0.0</v>
      </c>
      <c r="P76" s="380"/>
      <c r="S76" s="419" t="s">
        <v>436</v>
      </c>
      <c r="T76" s="419" t="s">
        <v>457</v>
      </c>
      <c r="U76" s="419" t="s">
        <v>271</v>
      </c>
      <c r="V76" s="419" t="s">
        <v>439</v>
      </c>
      <c r="W76" s="419" t="s">
        <v>440</v>
      </c>
      <c r="X76" s="419" t="s">
        <v>441</v>
      </c>
    </row>
    <row r="77" ht="14.25" customHeight="1">
      <c r="B77" s="408" t="s">
        <v>442</v>
      </c>
      <c r="C77" s="380"/>
      <c r="D77" s="380"/>
      <c r="E77" s="380"/>
      <c r="F77" s="380"/>
      <c r="G77" s="380"/>
      <c r="H77" s="380"/>
      <c r="I77" s="380"/>
      <c r="J77" s="380"/>
      <c r="K77" s="380"/>
      <c r="L77" s="380"/>
      <c r="M77" s="380"/>
      <c r="N77" s="380"/>
      <c r="O77" s="409">
        <f>SUM(O74:O76)</f>
        <v>32000</v>
      </c>
      <c r="P77" s="380"/>
      <c r="S77" s="420" t="s">
        <v>466</v>
      </c>
      <c r="T77" s="421">
        <v>311000.0</v>
      </c>
      <c r="U77" s="422" t="s">
        <v>467</v>
      </c>
      <c r="V77" s="422">
        <f>'MK Assumptions'!N$6+(T77-'MK Assumptions'!L$6)*(('MK Assumptions'!O$6-'MK Assumptions'!N$6)/('MK Assumptions'!M$6-'MK Assumptions'!L$6))</f>
        <v>22033.33333</v>
      </c>
      <c r="W77" s="423">
        <f>SUM(V77:V79)</f>
        <v>31156.42857</v>
      </c>
      <c r="X77" s="424">
        <v>0.03</v>
      </c>
    </row>
    <row r="78" ht="14.25" customHeight="1">
      <c r="B78" s="379" t="s">
        <v>394</v>
      </c>
      <c r="C78" s="380"/>
      <c r="D78" s="380"/>
      <c r="E78" s="380"/>
      <c r="F78" s="380"/>
      <c r="G78" s="380"/>
      <c r="H78" s="380"/>
      <c r="I78" s="380"/>
      <c r="J78" s="380"/>
      <c r="K78" s="380"/>
      <c r="L78" s="380"/>
      <c r="M78" s="380"/>
      <c r="N78" s="380"/>
      <c r="O78" s="425">
        <v>20000.0</v>
      </c>
      <c r="P78" s="380"/>
      <c r="S78" s="420" t="s">
        <v>458</v>
      </c>
      <c r="T78" s="421">
        <v>86800.0</v>
      </c>
      <c r="U78" s="422" t="s">
        <v>459</v>
      </c>
      <c r="V78" s="422">
        <f>'MK Assumptions'!N$5+(T78-'MK Assumptions'!L$5)*(('MK Assumptions'!O$5-'MK Assumptions'!N$5)/('MK Assumptions'!M$5-'MK Assumptions'!L$5))</f>
        <v>6011.428571</v>
      </c>
      <c r="W78" s="426"/>
      <c r="X78" s="427"/>
    </row>
    <row r="79" ht="14.25" customHeight="1">
      <c r="B79" s="355" t="s">
        <v>395</v>
      </c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435">
        <f>O78+O77+O72</f>
        <v>396844.4286</v>
      </c>
      <c r="P79" s="366"/>
      <c r="Q79" s="367"/>
      <c r="S79" s="420" t="s">
        <v>450</v>
      </c>
      <c r="T79" s="421">
        <v>33100.0</v>
      </c>
      <c r="U79" s="430" t="s">
        <v>449</v>
      </c>
      <c r="V79" s="422">
        <f>'MK Assumptions'!N$4+(T79-'MK Assumptions'!L$4)*(('MK Assumptions'!O$4-'MK Assumptions'!N$4)/('MK Assumptions'!M$4-'MK Assumptions'!L$4))</f>
        <v>3111.666667</v>
      </c>
      <c r="W79" s="426"/>
      <c r="X79" s="431"/>
    </row>
    <row r="80" ht="19.5" customHeight="1">
      <c r="N80" s="432" t="s">
        <v>447</v>
      </c>
      <c r="O80" s="433">
        <f>O79/'MK Sales Projections'!E16</f>
        <v>0.1132813058</v>
      </c>
      <c r="S80" s="431"/>
      <c r="T80" s="437"/>
      <c r="U80" s="438"/>
      <c r="V80" s="426"/>
      <c r="W80" s="426"/>
      <c r="X80" s="431"/>
    </row>
    <row r="81" ht="14.25" customHeight="1">
      <c r="S81" s="431"/>
      <c r="T81" s="437"/>
      <c r="U81" s="438"/>
      <c r="V81" s="426"/>
      <c r="W81" s="426"/>
      <c r="X81" s="431"/>
    </row>
    <row r="82" ht="14.25" customHeight="1">
      <c r="P82" s="360" t="s">
        <v>396</v>
      </c>
      <c r="Q82" s="361">
        <f>'MK Sales Projections'!F5</f>
        <v>13685663.95</v>
      </c>
    </row>
    <row r="83" ht="14.25" customHeight="1">
      <c r="B83" s="53" t="s">
        <v>35</v>
      </c>
      <c r="C83" s="54" t="s">
        <v>378</v>
      </c>
      <c r="D83" s="54" t="s">
        <v>379</v>
      </c>
      <c r="E83" s="54" t="s">
        <v>380</v>
      </c>
      <c r="F83" s="54" t="s">
        <v>381</v>
      </c>
      <c r="G83" s="54" t="s">
        <v>382</v>
      </c>
      <c r="H83" s="54" t="s">
        <v>383</v>
      </c>
      <c r="I83" s="54" t="s">
        <v>384</v>
      </c>
      <c r="J83" s="54" t="s">
        <v>385</v>
      </c>
      <c r="K83" s="54" t="s">
        <v>386</v>
      </c>
      <c r="L83" s="54" t="s">
        <v>387</v>
      </c>
      <c r="M83" s="54" t="s">
        <v>388</v>
      </c>
      <c r="N83" s="54" t="s">
        <v>389</v>
      </c>
      <c r="O83" s="54" t="s">
        <v>390</v>
      </c>
      <c r="P83" s="54" t="s">
        <v>391</v>
      </c>
      <c r="Q83" s="55" t="s">
        <v>451</v>
      </c>
      <c r="S83" s="1" t="s">
        <v>468</v>
      </c>
      <c r="T83" s="3"/>
    </row>
    <row r="84" ht="14.25" customHeight="1">
      <c r="B84" s="355" t="s">
        <v>398</v>
      </c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6"/>
      <c r="P84" s="366"/>
      <c r="Q84" s="367"/>
      <c r="S84" s="355" t="s">
        <v>399</v>
      </c>
      <c r="T84" s="368" t="s">
        <v>400</v>
      </c>
      <c r="U84" s="355" t="s">
        <v>401</v>
      </c>
      <c r="V84" s="368" t="s">
        <v>402</v>
      </c>
      <c r="W84" s="369" t="s">
        <v>403</v>
      </c>
    </row>
    <row r="85" ht="14.25" customHeight="1">
      <c r="B85" s="394" t="s">
        <v>404</v>
      </c>
      <c r="C85" s="380"/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95"/>
      <c r="P85" s="380"/>
      <c r="Q85" s="373"/>
      <c r="S85" s="374" t="s">
        <v>405</v>
      </c>
      <c r="T85" s="375">
        <v>1050.0</v>
      </c>
      <c r="U85" s="376">
        <v>8.0</v>
      </c>
      <c r="V85" s="377">
        <v>4.0</v>
      </c>
      <c r="W85" s="378">
        <v>4.0E-4</v>
      </c>
    </row>
    <row r="86" ht="14.25" customHeight="1">
      <c r="B86" s="379" t="s">
        <v>461</v>
      </c>
      <c r="C86" s="380"/>
      <c r="D86" s="380"/>
      <c r="E86" s="380"/>
      <c r="F86" s="381"/>
      <c r="G86" s="381"/>
      <c r="H86" s="381"/>
      <c r="I86" s="381"/>
      <c r="J86" s="381"/>
      <c r="K86" s="381"/>
      <c r="L86" s="381"/>
      <c r="M86" s="380"/>
      <c r="N86" s="380"/>
      <c r="O86" s="373">
        <f t="shared" ref="O86:O88" si="16">T94</f>
        <v>30000</v>
      </c>
      <c r="P86" s="382">
        <f t="shared" ref="P86:P87" si="17">X94</f>
        <v>0.03072356813</v>
      </c>
      <c r="Q86" s="373">
        <v>9.1</v>
      </c>
      <c r="S86" s="374" t="s">
        <v>411</v>
      </c>
      <c r="T86" s="383">
        <v>2745.0</v>
      </c>
    </row>
    <row r="87" ht="14.25" customHeight="1">
      <c r="B87" s="379" t="s">
        <v>408</v>
      </c>
      <c r="C87" s="380"/>
      <c r="D87" s="380"/>
      <c r="E87" s="380"/>
      <c r="F87" s="384"/>
      <c r="G87" s="384"/>
      <c r="H87" s="384"/>
      <c r="I87" s="384"/>
      <c r="J87" s="384"/>
      <c r="K87" s="384"/>
      <c r="L87" s="384"/>
      <c r="M87" s="380"/>
      <c r="N87" s="380"/>
      <c r="O87" s="373">
        <f t="shared" si="16"/>
        <v>30000</v>
      </c>
      <c r="P87" s="382">
        <f t="shared" si="17"/>
        <v>0.02912338229</v>
      </c>
      <c r="Q87" s="373">
        <v>9.6</v>
      </c>
      <c r="S87" s="374" t="s">
        <v>469</v>
      </c>
      <c r="T87" s="383">
        <v>1804.0</v>
      </c>
    </row>
    <row r="88" ht="14.25" customHeight="1">
      <c r="B88" s="379" t="s">
        <v>410</v>
      </c>
      <c r="C88" s="380"/>
      <c r="D88" s="380"/>
      <c r="E88" s="380"/>
      <c r="F88" s="385"/>
      <c r="G88" s="385"/>
      <c r="H88" s="385"/>
      <c r="I88" s="385"/>
      <c r="J88" s="385"/>
      <c r="K88" s="385"/>
      <c r="L88" s="385"/>
      <c r="M88" s="380"/>
      <c r="N88" s="380"/>
      <c r="O88" s="373">
        <f t="shared" si="16"/>
        <v>60000</v>
      </c>
      <c r="P88" s="386">
        <f>(O88/Q88)/Q82</f>
        <v>0.004384149736</v>
      </c>
      <c r="Q88" s="373">
        <v>1.0</v>
      </c>
      <c r="S88" s="374" t="s">
        <v>470</v>
      </c>
      <c r="T88" s="383">
        <v>2700.0</v>
      </c>
    </row>
    <row r="89" ht="14.25" customHeight="1">
      <c r="B89" s="379" t="s">
        <v>412</v>
      </c>
      <c r="C89" s="387"/>
      <c r="D89" s="387"/>
      <c r="E89" s="387"/>
      <c r="F89" s="387"/>
      <c r="G89" s="387"/>
      <c r="H89" s="387"/>
      <c r="I89" s="387"/>
      <c r="J89" s="387"/>
      <c r="K89" s="387"/>
      <c r="L89" s="387"/>
      <c r="M89" s="387"/>
      <c r="N89" s="387"/>
      <c r="O89" s="373">
        <f t="shared" ref="O89:P89" si="18">W101</f>
        <v>43633.33333</v>
      </c>
      <c r="P89" s="388">
        <f t="shared" si="18"/>
        <v>0.04</v>
      </c>
      <c r="Q89" s="373"/>
      <c r="S89" s="389" t="s">
        <v>463</v>
      </c>
      <c r="T89" s="390">
        <v>475.0</v>
      </c>
    </row>
    <row r="90" ht="14.25" customHeight="1">
      <c r="B90" s="379" t="s">
        <v>414</v>
      </c>
      <c r="C90" s="391"/>
      <c r="D90" s="391"/>
      <c r="E90" s="391"/>
      <c r="F90" s="391"/>
      <c r="G90" s="391"/>
      <c r="H90" s="391"/>
      <c r="I90" s="391"/>
      <c r="J90" s="391"/>
      <c r="K90" s="391"/>
      <c r="L90" s="391"/>
      <c r="M90" s="391"/>
      <c r="N90" s="391"/>
      <c r="O90" s="392">
        <f>5*T90*U85*V85</f>
        <v>280768</v>
      </c>
      <c r="P90" s="382">
        <f>O90/1000*W85</f>
        <v>0.1123072</v>
      </c>
      <c r="Q90" s="373"/>
      <c r="S90" s="355" t="s">
        <v>415</v>
      </c>
      <c r="T90" s="393">
        <f>AVERAGE(T85:T89)</f>
        <v>1754.8</v>
      </c>
    </row>
    <row r="91" ht="14.25" customHeight="1">
      <c r="B91" s="394" t="s">
        <v>416</v>
      </c>
      <c r="C91" s="380"/>
      <c r="D91" s="380"/>
      <c r="E91" s="380"/>
      <c r="F91" s="380"/>
      <c r="G91" s="380"/>
      <c r="H91" s="380"/>
      <c r="I91" s="380"/>
      <c r="J91" s="380"/>
      <c r="K91" s="380"/>
      <c r="L91" s="380"/>
      <c r="M91" s="380"/>
      <c r="N91" s="380"/>
      <c r="O91" s="395"/>
      <c r="P91" s="380"/>
      <c r="Q91" s="373"/>
    </row>
    <row r="92" ht="14.25" customHeight="1">
      <c r="B92" s="379" t="s">
        <v>393</v>
      </c>
      <c r="C92" s="396"/>
      <c r="D92" s="396"/>
      <c r="E92" s="396"/>
      <c r="F92" s="396"/>
      <c r="G92" s="396"/>
      <c r="H92" s="396"/>
      <c r="I92" s="396"/>
      <c r="J92" s="396"/>
      <c r="K92" s="396"/>
      <c r="L92" s="396"/>
      <c r="M92" s="396"/>
      <c r="N92" s="396"/>
      <c r="O92" s="373">
        <v>2000.0</v>
      </c>
      <c r="P92" s="388">
        <v>0.0</v>
      </c>
      <c r="Q92" s="373"/>
      <c r="S92" s="199" t="s">
        <v>471</v>
      </c>
      <c r="T92" s="397"/>
    </row>
    <row r="93" ht="14.25" customHeight="1">
      <c r="B93" s="394" t="s">
        <v>418</v>
      </c>
      <c r="C93" s="380"/>
      <c r="D93" s="380"/>
      <c r="E93" s="380"/>
      <c r="F93" s="380"/>
      <c r="G93" s="380"/>
      <c r="H93" s="380"/>
      <c r="I93" s="380"/>
      <c r="J93" s="380"/>
      <c r="K93" s="380"/>
      <c r="L93" s="380"/>
      <c r="M93" s="380"/>
      <c r="N93" s="380"/>
      <c r="O93" s="395"/>
      <c r="P93" s="380"/>
      <c r="Q93" s="373"/>
      <c r="S93" s="398" t="s">
        <v>419</v>
      </c>
      <c r="T93" s="399" t="s">
        <v>420</v>
      </c>
      <c r="U93" s="399" t="s">
        <v>421</v>
      </c>
      <c r="V93" s="399" t="s">
        <v>422</v>
      </c>
      <c r="W93" s="399" t="s">
        <v>423</v>
      </c>
      <c r="X93" s="400" t="s">
        <v>391</v>
      </c>
    </row>
    <row r="94" ht="14.25" customHeight="1">
      <c r="B94" s="379" t="s">
        <v>424</v>
      </c>
      <c r="C94" s="385"/>
      <c r="D94" s="385"/>
      <c r="E94" s="385"/>
      <c r="F94" s="385"/>
      <c r="G94" s="385"/>
      <c r="H94" s="385"/>
      <c r="I94" s="385"/>
      <c r="J94" s="385"/>
      <c r="K94" s="385"/>
      <c r="L94" s="385"/>
      <c r="M94" s="385"/>
      <c r="N94" s="385"/>
      <c r="O94" s="373">
        <v>0.0</v>
      </c>
      <c r="P94" s="386">
        <v>0.025</v>
      </c>
      <c r="Q94" s="373"/>
      <c r="S94" s="401" t="s">
        <v>425</v>
      </c>
      <c r="T94" s="402">
        <v>30000.0</v>
      </c>
      <c r="U94" s="403">
        <f>(T94/Q86)*U97</f>
        <v>3296703.297</v>
      </c>
      <c r="V94" s="403">
        <f>U94*V97</f>
        <v>1648351.648</v>
      </c>
      <c r="W94" s="403">
        <f>V94/W97</f>
        <v>412087.9121</v>
      </c>
      <c r="X94" s="404">
        <f t="shared" ref="X94:X95" si="19">W94/$Q$10</f>
        <v>0.03072356813</v>
      </c>
    </row>
    <row r="95" ht="14.25" customHeight="1">
      <c r="B95" s="379" t="s">
        <v>426</v>
      </c>
      <c r="C95" s="405"/>
      <c r="D95" s="405"/>
      <c r="E95" s="405"/>
      <c r="F95" s="405"/>
      <c r="G95" s="405"/>
      <c r="H95" s="405"/>
      <c r="I95" s="405"/>
      <c r="J95" s="405"/>
      <c r="K95" s="405"/>
      <c r="L95" s="405"/>
      <c r="M95" s="405"/>
      <c r="N95" s="405"/>
      <c r="O95" s="373">
        <v>5000.0</v>
      </c>
      <c r="P95" s="388">
        <v>0.01</v>
      </c>
      <c r="Q95" s="373"/>
      <c r="S95" s="374" t="s">
        <v>427</v>
      </c>
      <c r="T95" s="375">
        <v>30000.0</v>
      </c>
      <c r="U95" s="406">
        <f>T95/Q87*U97</f>
        <v>3125000</v>
      </c>
      <c r="V95" s="406">
        <f>U95*V97</f>
        <v>1562500</v>
      </c>
      <c r="W95" s="406">
        <f>V95/W97</f>
        <v>390625</v>
      </c>
      <c r="X95" s="407">
        <f t="shared" si="19"/>
        <v>0.02912338229</v>
      </c>
    </row>
    <row r="96" ht="14.25" customHeight="1">
      <c r="B96" s="408" t="s">
        <v>428</v>
      </c>
      <c r="C96" s="380"/>
      <c r="D96" s="380"/>
      <c r="E96" s="380"/>
      <c r="F96" s="380"/>
      <c r="G96" s="380"/>
      <c r="H96" s="380"/>
      <c r="I96" s="380"/>
      <c r="J96" s="380"/>
      <c r="K96" s="380"/>
      <c r="L96" s="380"/>
      <c r="M96" s="380"/>
      <c r="N96" s="380"/>
      <c r="O96" s="409">
        <f t="shared" ref="O96:P96" si="20">SUM(O86:O95)</f>
        <v>451401.3333</v>
      </c>
      <c r="P96" s="410">
        <f t="shared" si="20"/>
        <v>0.2515383002</v>
      </c>
      <c r="Q96" s="373"/>
      <c r="S96" s="389" t="s">
        <v>429</v>
      </c>
      <c r="T96" s="411">
        <v>60000.0</v>
      </c>
      <c r="U96" s="412"/>
      <c r="V96" s="411"/>
      <c r="W96" s="412"/>
      <c r="X96" s="413"/>
    </row>
    <row r="97" ht="14.25" customHeight="1">
      <c r="B97" s="355" t="s">
        <v>430</v>
      </c>
      <c r="C97" s="365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365"/>
      <c r="O97" s="366"/>
      <c r="P97" s="366"/>
      <c r="Q97" s="367"/>
      <c r="T97" s="188" t="s">
        <v>431</v>
      </c>
      <c r="U97" s="414">
        <v>1000.0</v>
      </c>
      <c r="V97" s="415">
        <v>0.5</v>
      </c>
      <c r="W97" s="416">
        <v>4.0</v>
      </c>
    </row>
    <row r="98" ht="14.25" customHeight="1">
      <c r="B98" s="379" t="s">
        <v>432</v>
      </c>
      <c r="C98" s="380"/>
      <c r="D98" s="380"/>
      <c r="E98" s="380"/>
      <c r="F98" s="380"/>
      <c r="G98" s="380"/>
      <c r="H98" s="380"/>
      <c r="I98" s="380"/>
      <c r="J98" s="417"/>
      <c r="K98" s="380"/>
      <c r="L98" s="380"/>
      <c r="M98" s="380"/>
      <c r="N98" s="380"/>
      <c r="O98" s="373">
        <v>16000.0</v>
      </c>
      <c r="P98" s="380"/>
    </row>
    <row r="99" ht="14.25" customHeight="1">
      <c r="B99" s="379" t="s">
        <v>433</v>
      </c>
      <c r="C99" s="380"/>
      <c r="D99" s="380"/>
      <c r="E99" s="380"/>
      <c r="F99" s="418"/>
      <c r="G99" s="380"/>
      <c r="H99" s="380"/>
      <c r="I99" s="380"/>
      <c r="J99" s="380"/>
      <c r="K99" s="380"/>
      <c r="L99" s="380"/>
      <c r="M99" s="380"/>
      <c r="N99" s="380"/>
      <c r="O99" s="373">
        <v>16000.0</v>
      </c>
      <c r="P99" s="380"/>
      <c r="S99" s="199" t="s">
        <v>472</v>
      </c>
      <c r="T99" s="397"/>
    </row>
    <row r="100" ht="14.25" customHeight="1">
      <c r="B100" s="379" t="s">
        <v>435</v>
      </c>
      <c r="C100" s="380"/>
      <c r="D100" s="380"/>
      <c r="E100" s="380"/>
      <c r="F100" s="380"/>
      <c r="G100" s="380"/>
      <c r="H100" s="380"/>
      <c r="I100" s="380"/>
      <c r="J100" s="380"/>
      <c r="K100" s="380"/>
      <c r="L100" s="380"/>
      <c r="M100" s="380"/>
      <c r="N100" s="380"/>
      <c r="O100" s="373">
        <v>0.0</v>
      </c>
      <c r="P100" s="380"/>
      <c r="S100" s="419" t="s">
        <v>436</v>
      </c>
      <c r="T100" s="419" t="s">
        <v>457</v>
      </c>
      <c r="U100" s="419" t="s">
        <v>271</v>
      </c>
      <c r="V100" s="419" t="s">
        <v>439</v>
      </c>
      <c r="W100" s="419" t="s">
        <v>440</v>
      </c>
      <c r="X100" s="419" t="s">
        <v>441</v>
      </c>
    </row>
    <row r="101" ht="14.25" customHeight="1">
      <c r="B101" s="408" t="s">
        <v>442</v>
      </c>
      <c r="C101" s="380"/>
      <c r="D101" s="380"/>
      <c r="E101" s="380"/>
      <c r="F101" s="380"/>
      <c r="G101" s="380"/>
      <c r="H101" s="380"/>
      <c r="I101" s="380"/>
      <c r="J101" s="380"/>
      <c r="K101" s="380"/>
      <c r="L101" s="380"/>
      <c r="M101" s="380"/>
      <c r="N101" s="380"/>
      <c r="O101" s="409">
        <f>SUM(O98:O100)</f>
        <v>32000</v>
      </c>
      <c r="P101" s="380"/>
      <c r="S101" s="420" t="s">
        <v>466</v>
      </c>
      <c r="T101" s="421">
        <v>311000.0</v>
      </c>
      <c r="U101" s="422" t="s">
        <v>467</v>
      </c>
      <c r="V101" s="422">
        <f>'MK Assumptions'!N$6+(T101-'MK Assumptions'!L$6)*(('MK Assumptions'!O$6-'MK Assumptions'!N$6)/('MK Assumptions'!M$6-'MK Assumptions'!L$6))</f>
        <v>22033.33333</v>
      </c>
      <c r="W101" s="423">
        <f>SUM(V101:V102)</f>
        <v>43633.33333</v>
      </c>
      <c r="X101" s="424">
        <v>0.04</v>
      </c>
    </row>
    <row r="102" ht="14.25" customHeight="1">
      <c r="B102" s="379" t="s">
        <v>394</v>
      </c>
      <c r="C102" s="380"/>
      <c r="D102" s="380"/>
      <c r="E102" s="380"/>
      <c r="F102" s="380"/>
      <c r="G102" s="380"/>
      <c r="H102" s="380"/>
      <c r="I102" s="380"/>
      <c r="J102" s="380"/>
      <c r="K102" s="380"/>
      <c r="L102" s="380"/>
      <c r="M102" s="380"/>
      <c r="N102" s="380"/>
      <c r="O102" s="425">
        <v>20000.0</v>
      </c>
      <c r="P102" s="380"/>
      <c r="S102" s="420" t="s">
        <v>473</v>
      </c>
      <c r="T102" s="421">
        <v>298000.0</v>
      </c>
      <c r="U102" s="422" t="s">
        <v>467</v>
      </c>
      <c r="V102" s="422">
        <f>'MK Assumptions'!N$6+(T102-'MK Assumptions'!L$6)*(('MK Assumptions'!O$6-'MK Assumptions'!N$6)/('MK Assumptions'!M$6-'MK Assumptions'!L$6))</f>
        <v>21600</v>
      </c>
      <c r="W102" s="426"/>
      <c r="X102" s="427"/>
    </row>
    <row r="103" ht="14.25" customHeight="1">
      <c r="B103" s="355" t="s">
        <v>395</v>
      </c>
      <c r="C103" s="365"/>
      <c r="D103" s="365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435">
        <f>O102+O101+O96</f>
        <v>503401.3333</v>
      </c>
      <c r="P103" s="366"/>
      <c r="Q103" s="367"/>
      <c r="S103" s="431"/>
      <c r="T103" s="437"/>
      <c r="U103" s="438"/>
      <c r="V103" s="426"/>
      <c r="W103" s="426"/>
      <c r="X103" s="431"/>
    </row>
    <row r="104" ht="21.0" customHeight="1">
      <c r="N104" s="432" t="s">
        <v>447</v>
      </c>
      <c r="O104" s="433">
        <f>O103/'MK Sales Projections'!F16</f>
        <v>0.09986642375</v>
      </c>
    </row>
    <row r="105" ht="14.25" customHeight="1"/>
    <row r="106" ht="14.25" customHeight="1">
      <c r="P106" s="360" t="s">
        <v>396</v>
      </c>
      <c r="Q106" s="361">
        <f>'MK Sales Projections'!G5</f>
        <v>13697262.31</v>
      </c>
    </row>
    <row r="107" ht="14.25" customHeight="1">
      <c r="B107" s="53" t="s">
        <v>36</v>
      </c>
      <c r="C107" s="54" t="s">
        <v>378</v>
      </c>
      <c r="D107" s="54" t="s">
        <v>379</v>
      </c>
      <c r="E107" s="54" t="s">
        <v>380</v>
      </c>
      <c r="F107" s="54" t="s">
        <v>381</v>
      </c>
      <c r="G107" s="54" t="s">
        <v>382</v>
      </c>
      <c r="H107" s="54" t="s">
        <v>383</v>
      </c>
      <c r="I107" s="54" t="s">
        <v>384</v>
      </c>
      <c r="J107" s="54" t="s">
        <v>385</v>
      </c>
      <c r="K107" s="54" t="s">
        <v>386</v>
      </c>
      <c r="L107" s="54" t="s">
        <v>387</v>
      </c>
      <c r="M107" s="54" t="s">
        <v>388</v>
      </c>
      <c r="N107" s="54" t="s">
        <v>389</v>
      </c>
      <c r="O107" s="54" t="s">
        <v>390</v>
      </c>
      <c r="P107" s="54" t="s">
        <v>391</v>
      </c>
      <c r="Q107" s="55" t="s">
        <v>451</v>
      </c>
      <c r="S107" s="1" t="s">
        <v>474</v>
      </c>
      <c r="T107" s="3"/>
    </row>
    <row r="108" ht="14.25" customHeight="1">
      <c r="B108" s="355" t="s">
        <v>398</v>
      </c>
      <c r="C108" s="365"/>
      <c r="D108" s="365"/>
      <c r="E108" s="365"/>
      <c r="F108" s="365"/>
      <c r="G108" s="365"/>
      <c r="H108" s="365"/>
      <c r="I108" s="365"/>
      <c r="J108" s="365"/>
      <c r="K108" s="365"/>
      <c r="L108" s="365"/>
      <c r="M108" s="365"/>
      <c r="N108" s="365"/>
      <c r="O108" s="366"/>
      <c r="P108" s="366"/>
      <c r="Q108" s="367"/>
      <c r="S108" s="355" t="s">
        <v>399</v>
      </c>
      <c r="T108" s="368" t="s">
        <v>400</v>
      </c>
      <c r="U108" s="355" t="s">
        <v>401</v>
      </c>
      <c r="V108" s="368" t="s">
        <v>402</v>
      </c>
      <c r="W108" s="369" t="s">
        <v>403</v>
      </c>
    </row>
    <row r="109" ht="14.25" customHeight="1">
      <c r="B109" s="394" t="s">
        <v>404</v>
      </c>
      <c r="C109" s="380"/>
      <c r="D109" s="380"/>
      <c r="E109" s="380"/>
      <c r="F109" s="380"/>
      <c r="G109" s="380"/>
      <c r="H109" s="380"/>
      <c r="I109" s="380"/>
      <c r="J109" s="380"/>
      <c r="K109" s="380"/>
      <c r="L109" s="380"/>
      <c r="M109" s="380"/>
      <c r="N109" s="380"/>
      <c r="O109" s="395"/>
      <c r="P109" s="439"/>
      <c r="Q109" s="373"/>
      <c r="S109" s="374" t="s">
        <v>405</v>
      </c>
      <c r="T109" s="375">
        <v>1050.0</v>
      </c>
      <c r="U109" s="376">
        <v>8.0</v>
      </c>
      <c r="V109" s="377">
        <v>4.0</v>
      </c>
      <c r="W109" s="378">
        <v>4.0E-4</v>
      </c>
    </row>
    <row r="110" ht="14.25" customHeight="1">
      <c r="B110" s="379" t="s">
        <v>461</v>
      </c>
      <c r="C110" s="380"/>
      <c r="D110" s="380"/>
      <c r="E110" s="380"/>
      <c r="F110" s="381"/>
      <c r="G110" s="381"/>
      <c r="H110" s="381"/>
      <c r="I110" s="381"/>
      <c r="J110" s="381"/>
      <c r="K110" s="381"/>
      <c r="L110" s="381"/>
      <c r="M110" s="380"/>
      <c r="N110" s="380"/>
      <c r="O110" s="373">
        <v>40000.0</v>
      </c>
      <c r="P110" s="382">
        <f t="shared" ref="P110:P111" si="21">X118</f>
        <v>0.04096475751</v>
      </c>
      <c r="Q110" s="373">
        <v>9.1</v>
      </c>
      <c r="S110" s="374" t="s">
        <v>411</v>
      </c>
      <c r="T110" s="383">
        <v>2745.0</v>
      </c>
    </row>
    <row r="111" ht="14.25" customHeight="1">
      <c r="B111" s="379" t="s">
        <v>408</v>
      </c>
      <c r="C111" s="380"/>
      <c r="D111" s="380"/>
      <c r="E111" s="380"/>
      <c r="F111" s="384"/>
      <c r="G111" s="384"/>
      <c r="H111" s="384"/>
      <c r="I111" s="384"/>
      <c r="J111" s="384"/>
      <c r="K111" s="384"/>
      <c r="L111" s="384"/>
      <c r="M111" s="380"/>
      <c r="N111" s="380"/>
      <c r="O111" s="373">
        <v>40000.0</v>
      </c>
      <c r="P111" s="382">
        <f t="shared" si="21"/>
        <v>0.03883117639</v>
      </c>
      <c r="Q111" s="373">
        <v>9.6</v>
      </c>
      <c r="S111" s="374" t="s">
        <v>475</v>
      </c>
      <c r="T111" s="383">
        <v>3135.0</v>
      </c>
    </row>
    <row r="112" ht="14.25" customHeight="1">
      <c r="B112" s="379" t="s">
        <v>410</v>
      </c>
      <c r="C112" s="380"/>
      <c r="D112" s="380"/>
      <c r="E112" s="380"/>
      <c r="F112" s="385"/>
      <c r="G112" s="385"/>
      <c r="H112" s="385"/>
      <c r="I112" s="385"/>
      <c r="J112" s="385"/>
      <c r="K112" s="385"/>
      <c r="L112" s="385"/>
      <c r="M112" s="380"/>
      <c r="N112" s="380"/>
      <c r="O112" s="373">
        <v>80000.0</v>
      </c>
      <c r="P112" s="386">
        <f>(O112/Q112)/Q106</f>
        <v>0.005840583188</v>
      </c>
      <c r="Q112" s="373">
        <v>1.0</v>
      </c>
      <c r="S112" s="374" t="s">
        <v>413</v>
      </c>
      <c r="T112" s="383">
        <v>1804.0</v>
      </c>
    </row>
    <row r="113" ht="14.25" customHeight="1">
      <c r="B113" s="379" t="s">
        <v>412</v>
      </c>
      <c r="C113" s="387"/>
      <c r="D113" s="387"/>
      <c r="E113" s="387"/>
      <c r="F113" s="387"/>
      <c r="G113" s="387"/>
      <c r="H113" s="387"/>
      <c r="I113" s="387"/>
      <c r="J113" s="387"/>
      <c r="K113" s="387"/>
      <c r="L113" s="387"/>
      <c r="M113" s="387"/>
      <c r="N113" s="387"/>
      <c r="O113" s="373">
        <f t="shared" ref="O113:P113" si="22">W125</f>
        <v>46745</v>
      </c>
      <c r="P113" s="386">
        <f t="shared" si="22"/>
        <v>0.05</v>
      </c>
      <c r="Q113" s="373"/>
      <c r="S113" s="389" t="s">
        <v>476</v>
      </c>
      <c r="T113" s="390">
        <v>2700.0</v>
      </c>
    </row>
    <row r="114" ht="14.25" customHeight="1">
      <c r="B114" s="379" t="s">
        <v>414</v>
      </c>
      <c r="C114" s="391"/>
      <c r="D114" s="391"/>
      <c r="E114" s="391"/>
      <c r="F114" s="391"/>
      <c r="G114" s="391"/>
      <c r="H114" s="391"/>
      <c r="I114" s="391"/>
      <c r="J114" s="391"/>
      <c r="K114" s="391"/>
      <c r="L114" s="391"/>
      <c r="M114" s="391"/>
      <c r="N114" s="391"/>
      <c r="O114" s="392">
        <f>T114*5*U109*V109</f>
        <v>365888</v>
      </c>
      <c r="P114" s="382">
        <f>O114/1000*W109</f>
        <v>0.1463552</v>
      </c>
      <c r="Q114" s="373"/>
      <c r="S114" s="355" t="s">
        <v>415</v>
      </c>
      <c r="T114" s="393">
        <f>AVERAGE(T109:T113)</f>
        <v>2286.8</v>
      </c>
    </row>
    <row r="115" ht="14.25" customHeight="1">
      <c r="B115" s="394" t="s">
        <v>416</v>
      </c>
      <c r="C115" s="380"/>
      <c r="D115" s="380"/>
      <c r="E115" s="380"/>
      <c r="F115" s="380"/>
      <c r="G115" s="380"/>
      <c r="H115" s="380"/>
      <c r="I115" s="380"/>
      <c r="J115" s="380"/>
      <c r="K115" s="380"/>
      <c r="L115" s="380"/>
      <c r="M115" s="380"/>
      <c r="N115" s="380"/>
      <c r="O115" s="395"/>
      <c r="P115" s="380"/>
      <c r="Q115" s="373"/>
    </row>
    <row r="116" ht="14.25" customHeight="1">
      <c r="B116" s="379" t="s">
        <v>393</v>
      </c>
      <c r="C116" s="396"/>
      <c r="D116" s="396"/>
      <c r="E116" s="396"/>
      <c r="F116" s="396"/>
      <c r="G116" s="396"/>
      <c r="H116" s="396"/>
      <c r="I116" s="396"/>
      <c r="J116" s="396"/>
      <c r="K116" s="396"/>
      <c r="L116" s="396"/>
      <c r="M116" s="396"/>
      <c r="N116" s="396"/>
      <c r="O116" s="373">
        <v>2000.0</v>
      </c>
      <c r="P116" s="388">
        <v>0.0</v>
      </c>
      <c r="Q116" s="373"/>
      <c r="S116" s="199" t="s">
        <v>477</v>
      </c>
      <c r="T116" s="397"/>
    </row>
    <row r="117" ht="14.25" customHeight="1">
      <c r="B117" s="394" t="s">
        <v>418</v>
      </c>
      <c r="C117" s="380"/>
      <c r="D117" s="380"/>
      <c r="E117" s="380"/>
      <c r="F117" s="380"/>
      <c r="G117" s="380"/>
      <c r="H117" s="380"/>
      <c r="I117" s="380"/>
      <c r="J117" s="380"/>
      <c r="K117" s="380"/>
      <c r="L117" s="380"/>
      <c r="M117" s="380"/>
      <c r="N117" s="380"/>
      <c r="O117" s="395"/>
      <c r="P117" s="380"/>
      <c r="Q117" s="373"/>
      <c r="S117" s="398" t="s">
        <v>419</v>
      </c>
      <c r="T117" s="399" t="s">
        <v>420</v>
      </c>
      <c r="U117" s="399" t="s">
        <v>421</v>
      </c>
      <c r="V117" s="399" t="s">
        <v>422</v>
      </c>
      <c r="W117" s="399" t="s">
        <v>423</v>
      </c>
      <c r="X117" s="400" t="s">
        <v>391</v>
      </c>
    </row>
    <row r="118" ht="14.25" customHeight="1">
      <c r="B118" s="379" t="s">
        <v>424</v>
      </c>
      <c r="C118" s="385"/>
      <c r="D118" s="385"/>
      <c r="E118" s="385"/>
      <c r="F118" s="385"/>
      <c r="G118" s="385"/>
      <c r="H118" s="385"/>
      <c r="I118" s="385"/>
      <c r="J118" s="385"/>
      <c r="K118" s="385"/>
      <c r="L118" s="385"/>
      <c r="M118" s="385"/>
      <c r="N118" s="385"/>
      <c r="O118" s="373">
        <v>0.0</v>
      </c>
      <c r="P118" s="388">
        <v>0.03</v>
      </c>
      <c r="Q118" s="373"/>
      <c r="S118" s="401" t="s">
        <v>425</v>
      </c>
      <c r="T118" s="402">
        <v>40000.0</v>
      </c>
      <c r="U118" s="403">
        <f>(T118/Q110)*U121</f>
        <v>4395604.396</v>
      </c>
      <c r="V118" s="403">
        <f>U118*V121</f>
        <v>2197802.198</v>
      </c>
      <c r="W118" s="403">
        <f>V118/W121</f>
        <v>549450.5495</v>
      </c>
      <c r="X118" s="404">
        <f t="shared" ref="X118:X119" si="23">W118/$Q$10</f>
        <v>0.04096475751</v>
      </c>
    </row>
    <row r="119" ht="14.25" customHeight="1">
      <c r="B119" s="379" t="s">
        <v>426</v>
      </c>
      <c r="C119" s="405"/>
      <c r="D119" s="405"/>
      <c r="E119" s="405"/>
      <c r="F119" s="405"/>
      <c r="G119" s="405"/>
      <c r="H119" s="405"/>
      <c r="I119" s="405"/>
      <c r="J119" s="405"/>
      <c r="K119" s="405"/>
      <c r="L119" s="405"/>
      <c r="M119" s="405"/>
      <c r="N119" s="405"/>
      <c r="O119" s="373">
        <v>5000.0</v>
      </c>
      <c r="P119" s="388">
        <v>0.01</v>
      </c>
      <c r="Q119" s="373"/>
      <c r="S119" s="374" t="s">
        <v>427</v>
      </c>
      <c r="T119" s="375">
        <v>40000.0</v>
      </c>
      <c r="U119" s="406">
        <f>T119/Q111*U121</f>
        <v>4166666.667</v>
      </c>
      <c r="V119" s="406">
        <f>U119*V121</f>
        <v>2083333.333</v>
      </c>
      <c r="W119" s="406">
        <f>V119/W121</f>
        <v>520833.3333</v>
      </c>
      <c r="X119" s="407">
        <f t="shared" si="23"/>
        <v>0.03883117639</v>
      </c>
    </row>
    <row r="120" ht="14.25" customHeight="1">
      <c r="B120" s="408" t="s">
        <v>428</v>
      </c>
      <c r="C120" s="380"/>
      <c r="D120" s="380"/>
      <c r="E120" s="380"/>
      <c r="F120" s="380"/>
      <c r="G120" s="380"/>
      <c r="H120" s="380"/>
      <c r="I120" s="380"/>
      <c r="J120" s="380"/>
      <c r="K120" s="380"/>
      <c r="L120" s="380"/>
      <c r="M120" s="380"/>
      <c r="N120" s="380"/>
      <c r="O120" s="409">
        <f t="shared" ref="O120:P120" si="24">SUM(O110:O119)</f>
        <v>579633</v>
      </c>
      <c r="P120" s="410">
        <f t="shared" si="24"/>
        <v>0.3219917171</v>
      </c>
      <c r="Q120" s="373"/>
      <c r="S120" s="389" t="s">
        <v>429</v>
      </c>
      <c r="T120" s="411">
        <v>80000.0</v>
      </c>
      <c r="U120" s="412"/>
      <c r="V120" s="411"/>
      <c r="W120" s="412"/>
      <c r="X120" s="413"/>
    </row>
    <row r="121" ht="14.25" customHeight="1">
      <c r="B121" s="355" t="s">
        <v>430</v>
      </c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6"/>
      <c r="P121" s="366"/>
      <c r="Q121" s="367"/>
      <c r="T121" s="188" t="s">
        <v>431</v>
      </c>
      <c r="U121" s="414">
        <v>1000.0</v>
      </c>
      <c r="V121" s="415">
        <v>0.5</v>
      </c>
      <c r="W121" s="416">
        <v>4.0</v>
      </c>
    </row>
    <row r="122" ht="14.25" customHeight="1">
      <c r="B122" s="379" t="s">
        <v>432</v>
      </c>
      <c r="C122" s="380"/>
      <c r="D122" s="380"/>
      <c r="E122" s="380"/>
      <c r="F122" s="380"/>
      <c r="G122" s="380"/>
      <c r="H122" s="380"/>
      <c r="I122" s="380"/>
      <c r="J122" s="417"/>
      <c r="K122" s="380"/>
      <c r="L122" s="380"/>
      <c r="M122" s="380"/>
      <c r="N122" s="380"/>
      <c r="O122" s="373">
        <v>16000.0</v>
      </c>
      <c r="P122" s="380"/>
    </row>
    <row r="123" ht="14.25" customHeight="1">
      <c r="B123" s="379" t="s">
        <v>433</v>
      </c>
      <c r="C123" s="380"/>
      <c r="D123" s="380"/>
      <c r="E123" s="380"/>
      <c r="F123" s="418"/>
      <c r="G123" s="380"/>
      <c r="H123" s="380"/>
      <c r="I123" s="380"/>
      <c r="J123" s="380"/>
      <c r="K123" s="380"/>
      <c r="L123" s="380"/>
      <c r="M123" s="380"/>
      <c r="N123" s="380"/>
      <c r="O123" s="373">
        <v>16000.0</v>
      </c>
      <c r="P123" s="380"/>
      <c r="S123" s="199" t="s">
        <v>478</v>
      </c>
      <c r="T123" s="397"/>
    </row>
    <row r="124" ht="14.25" customHeight="1">
      <c r="B124" s="379" t="s">
        <v>435</v>
      </c>
      <c r="C124" s="380"/>
      <c r="D124" s="380"/>
      <c r="E124" s="380"/>
      <c r="F124" s="380"/>
      <c r="G124" s="380"/>
      <c r="H124" s="380"/>
      <c r="I124" s="380"/>
      <c r="J124" s="380"/>
      <c r="K124" s="380"/>
      <c r="L124" s="380"/>
      <c r="M124" s="380"/>
      <c r="N124" s="380"/>
      <c r="O124" s="373">
        <v>0.0</v>
      </c>
      <c r="P124" s="380"/>
      <c r="S124" s="419" t="s">
        <v>436</v>
      </c>
      <c r="T124" s="419" t="s">
        <v>457</v>
      </c>
      <c r="U124" s="419" t="s">
        <v>271</v>
      </c>
      <c r="V124" s="419" t="s">
        <v>439</v>
      </c>
      <c r="W124" s="419" t="s">
        <v>440</v>
      </c>
      <c r="X124" s="419" t="s">
        <v>441</v>
      </c>
    </row>
    <row r="125" ht="14.25" customHeight="1">
      <c r="B125" s="408" t="s">
        <v>442</v>
      </c>
      <c r="C125" s="380"/>
      <c r="D125" s="380"/>
      <c r="E125" s="380"/>
      <c r="F125" s="380"/>
      <c r="G125" s="380"/>
      <c r="H125" s="380"/>
      <c r="I125" s="380"/>
      <c r="J125" s="380"/>
      <c r="K125" s="380"/>
      <c r="L125" s="380"/>
      <c r="M125" s="380"/>
      <c r="N125" s="380"/>
      <c r="O125" s="409">
        <f>SUM(O122:O124)</f>
        <v>32000</v>
      </c>
      <c r="P125" s="380"/>
      <c r="S125" s="420" t="s">
        <v>466</v>
      </c>
      <c r="T125" s="421">
        <v>311000.0</v>
      </c>
      <c r="U125" s="422" t="s">
        <v>467</v>
      </c>
      <c r="V125" s="422">
        <f>'MK Assumptions'!N$6+(T125-'MK Assumptions'!L$6)*(('MK Assumptions'!O$6-'MK Assumptions'!N$6)/('MK Assumptions'!M$6-'MK Assumptions'!L$6))</f>
        <v>22033.33333</v>
      </c>
      <c r="W125" s="423">
        <f>SUM(V125:V127)</f>
        <v>46745</v>
      </c>
      <c r="X125" s="424">
        <v>0.05</v>
      </c>
    </row>
    <row r="126" ht="14.25" customHeight="1">
      <c r="B126" s="379" t="s">
        <v>394</v>
      </c>
      <c r="C126" s="380"/>
      <c r="D126" s="380"/>
      <c r="E126" s="380"/>
      <c r="F126" s="380"/>
      <c r="G126" s="380"/>
      <c r="H126" s="380"/>
      <c r="I126" s="380"/>
      <c r="J126" s="380"/>
      <c r="K126" s="380"/>
      <c r="L126" s="380"/>
      <c r="M126" s="380"/>
      <c r="N126" s="380"/>
      <c r="O126" s="425">
        <v>20000.0</v>
      </c>
      <c r="P126" s="380"/>
      <c r="S126" s="420" t="s">
        <v>473</v>
      </c>
      <c r="T126" s="421">
        <v>298000.0</v>
      </c>
      <c r="U126" s="422" t="s">
        <v>467</v>
      </c>
      <c r="V126" s="422">
        <f>'MK Assumptions'!N$6+(T126-'MK Assumptions'!L$6)*(('MK Assumptions'!O$6-'MK Assumptions'!N$6)/('MK Assumptions'!M$6-'MK Assumptions'!L$6))</f>
        <v>21600</v>
      </c>
      <c r="W126" s="426"/>
      <c r="X126" s="427"/>
    </row>
    <row r="127" ht="14.25" customHeight="1">
      <c r="B127" s="355" t="s">
        <v>395</v>
      </c>
      <c r="C127" s="365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435">
        <f>O126+O125+O120</f>
        <v>631633</v>
      </c>
      <c r="P127" s="366"/>
      <c r="Q127" s="367"/>
      <c r="S127" s="420" t="s">
        <v>450</v>
      </c>
      <c r="T127" s="421">
        <v>33100.0</v>
      </c>
      <c r="U127" s="430" t="s">
        <v>449</v>
      </c>
      <c r="V127" s="422">
        <f>'MK Assumptions'!N$4+(T127-'MK Assumptions'!L$4)*(('MK Assumptions'!O$4-'MK Assumptions'!N$4)/('MK Assumptions'!M$4-'MK Assumptions'!L$4))</f>
        <v>3111.666667</v>
      </c>
      <c r="W127" s="426"/>
      <c r="X127" s="431"/>
    </row>
    <row r="128" ht="22.5" customHeight="1">
      <c r="N128" s="432" t="s">
        <v>447</v>
      </c>
      <c r="O128" s="433">
        <f>O127/'MK Sales Projections'!G16</f>
        <v>0.08551523816</v>
      </c>
    </row>
    <row r="129" ht="14.25" customHeight="1"/>
    <row r="130" ht="14.25" customHeight="1"/>
    <row r="131" ht="14.25" customHeight="1">
      <c r="C131" s="256"/>
      <c r="D131" s="256"/>
      <c r="E131" s="256"/>
      <c r="F131" s="256"/>
      <c r="G131" s="256"/>
    </row>
    <row r="132" ht="14.25" customHeight="1">
      <c r="B132" s="256"/>
    </row>
    <row r="133" ht="14.25" customHeight="1">
      <c r="B133" s="256"/>
    </row>
    <row r="134" ht="14.25" customHeight="1">
      <c r="B134" s="256"/>
    </row>
    <row r="135" ht="14.25" customHeight="1">
      <c r="B135" s="256"/>
    </row>
    <row r="136" ht="14.25" customHeight="1">
      <c r="B136" s="256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6">
    <mergeCell ref="B2:C2"/>
    <mergeCell ref="S11:T11"/>
    <mergeCell ref="S20:T20"/>
    <mergeCell ref="S27:T27"/>
    <mergeCell ref="S35:T35"/>
    <mergeCell ref="S44:T44"/>
    <mergeCell ref="S51:T51"/>
    <mergeCell ref="S116:T116"/>
    <mergeCell ref="S123:T123"/>
    <mergeCell ref="S59:T59"/>
    <mergeCell ref="S68:T68"/>
    <mergeCell ref="S75:T75"/>
    <mergeCell ref="S83:T83"/>
    <mergeCell ref="S92:T92"/>
    <mergeCell ref="S99:T99"/>
    <mergeCell ref="S107:T10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6.63"/>
    <col customWidth="1" min="3" max="3" width="40.88"/>
    <col customWidth="1" min="4" max="4" width="25.25"/>
    <col customWidth="1" min="5" max="5" width="44.88"/>
    <col customWidth="1" min="6" max="6" width="16.13"/>
    <col customWidth="1" min="7" max="8" width="20.63"/>
    <col customWidth="1" min="9" max="9" width="20.88"/>
    <col customWidth="1" min="10" max="26" width="8.63"/>
  </cols>
  <sheetData>
    <row r="1" ht="14.25" customHeight="1"/>
    <row r="2" ht="14.25" customHeight="1">
      <c r="B2" s="1" t="s">
        <v>479</v>
      </c>
      <c r="C2" s="3"/>
      <c r="E2" s="1" t="s">
        <v>480</v>
      </c>
      <c r="F2" s="3"/>
    </row>
    <row r="3" ht="14.25" customHeight="1">
      <c r="E3" s="216" t="s">
        <v>481</v>
      </c>
      <c r="F3" s="215">
        <v>0.01</v>
      </c>
    </row>
    <row r="4" ht="14.25" customHeight="1">
      <c r="B4" s="1" t="s">
        <v>482</v>
      </c>
      <c r="C4" s="3"/>
      <c r="E4" s="216" t="s">
        <v>483</v>
      </c>
      <c r="F4" s="215">
        <f>C8</f>
        <v>0.03</v>
      </c>
      <c r="G4" s="161"/>
      <c r="H4" s="161"/>
      <c r="I4" s="161"/>
    </row>
    <row r="5" ht="14.25" customHeight="1">
      <c r="B5" s="216" t="s">
        <v>484</v>
      </c>
      <c r="C5" s="217">
        <v>250.0</v>
      </c>
      <c r="E5" s="216" t="s">
        <v>485</v>
      </c>
      <c r="F5" s="215">
        <v>0.01</v>
      </c>
      <c r="G5" s="440"/>
      <c r="H5" s="441"/>
      <c r="I5" s="441"/>
    </row>
    <row r="6" ht="14.25" customHeight="1">
      <c r="B6" s="216" t="s">
        <v>486</v>
      </c>
      <c r="C6" s="217">
        <v>8.0</v>
      </c>
      <c r="E6" s="216"/>
      <c r="F6" s="215"/>
      <c r="G6" s="440"/>
      <c r="H6" s="441"/>
      <c r="I6" s="441"/>
    </row>
    <row r="7" ht="14.25" customHeight="1">
      <c r="B7" s="216" t="s">
        <v>487</v>
      </c>
      <c r="C7" s="217">
        <f>C5*C6</f>
        <v>2000</v>
      </c>
      <c r="E7" s="216"/>
      <c r="F7" s="215"/>
      <c r="G7" s="440"/>
      <c r="H7" s="441"/>
      <c r="I7" s="441"/>
    </row>
    <row r="8" ht="14.25" customHeight="1">
      <c r="B8" s="216" t="s">
        <v>488</v>
      </c>
      <c r="C8" s="215">
        <v>0.03</v>
      </c>
      <c r="E8" s="216"/>
      <c r="F8" s="217"/>
      <c r="G8" s="440"/>
      <c r="H8" s="441"/>
      <c r="I8" s="441"/>
    </row>
    <row r="9" ht="14.25" customHeight="1">
      <c r="B9" s="216" t="s">
        <v>489</v>
      </c>
      <c r="C9" s="215">
        <v>0.3</v>
      </c>
      <c r="E9" s="216"/>
      <c r="F9" s="217"/>
      <c r="G9" s="440"/>
      <c r="H9" s="441"/>
      <c r="I9" s="442"/>
    </row>
    <row r="10" ht="14.25" customHeight="1">
      <c r="B10" s="216"/>
      <c r="C10" s="217"/>
      <c r="E10" s="218"/>
      <c r="F10" s="443"/>
    </row>
    <row r="11" ht="14.25" customHeight="1">
      <c r="B11" s="216"/>
      <c r="C11" s="217"/>
    </row>
    <row r="12" ht="18.0" customHeight="1">
      <c r="B12" s="218"/>
      <c r="C12" s="443"/>
      <c r="E12" s="199" t="s">
        <v>490</v>
      </c>
      <c r="F12" s="397"/>
    </row>
    <row r="13" ht="14.25" customHeight="1">
      <c r="E13" s="444" t="s">
        <v>491</v>
      </c>
      <c r="F13" s="445">
        <v>0.01</v>
      </c>
    </row>
    <row r="14" ht="14.25" customHeight="1">
      <c r="B14" s="446" t="s">
        <v>492</v>
      </c>
      <c r="C14" s="397"/>
      <c r="E14" s="444" t="s">
        <v>493</v>
      </c>
      <c r="F14" s="445">
        <v>0.05</v>
      </c>
    </row>
    <row r="15" ht="14.25" customHeight="1">
      <c r="B15" s="447" t="s">
        <v>494</v>
      </c>
      <c r="C15" s="448">
        <v>0.03</v>
      </c>
      <c r="E15" s="449" t="s">
        <v>495</v>
      </c>
      <c r="F15" s="450">
        <v>0.92</v>
      </c>
    </row>
    <row r="16" ht="14.25" customHeight="1">
      <c r="B16" s="444" t="s">
        <v>496</v>
      </c>
      <c r="C16" s="451">
        <v>2.0</v>
      </c>
      <c r="E16" s="444" t="s">
        <v>497</v>
      </c>
      <c r="F16" s="445">
        <v>0.02</v>
      </c>
      <c r="G16" s="364"/>
    </row>
    <row r="17" ht="14.25" customHeight="1">
      <c r="B17" s="444" t="s">
        <v>498</v>
      </c>
      <c r="C17" s="452">
        <v>40.0</v>
      </c>
      <c r="D17" s="453" t="s">
        <v>499</v>
      </c>
      <c r="E17" s="444" t="s">
        <v>500</v>
      </c>
      <c r="F17" s="454">
        <v>0.00305</v>
      </c>
      <c r="G17" s="364"/>
    </row>
    <row r="18" ht="14.25" customHeight="1">
      <c r="B18" s="449" t="s">
        <v>501</v>
      </c>
      <c r="C18" s="455">
        <f>95%*D18</f>
        <v>0.95</v>
      </c>
      <c r="D18" s="456">
        <v>1.0</v>
      </c>
      <c r="E18" s="444" t="s">
        <v>502</v>
      </c>
      <c r="F18" s="450">
        <v>0.14</v>
      </c>
    </row>
    <row r="19" ht="14.25" customHeight="1">
      <c r="B19" s="449" t="s">
        <v>503</v>
      </c>
      <c r="C19" s="457">
        <f>NORMINV(C18, 0, 1)</f>
        <v>1.644853625</v>
      </c>
      <c r="E19" s="444" t="s">
        <v>504</v>
      </c>
      <c r="F19" s="445">
        <v>0.02</v>
      </c>
    </row>
    <row r="20" ht="14.25" customHeight="1">
      <c r="B20" s="444" t="s">
        <v>505</v>
      </c>
      <c r="C20" s="455">
        <v>0.3</v>
      </c>
      <c r="E20" s="444"/>
      <c r="F20" s="458"/>
    </row>
    <row r="21" ht="14.25" customHeight="1">
      <c r="B21" s="459"/>
      <c r="C21" s="460"/>
      <c r="E21" s="444" t="s">
        <v>506</v>
      </c>
      <c r="F21" s="458">
        <v>0.02</v>
      </c>
    </row>
    <row r="22" ht="14.25" customHeight="1">
      <c r="E22" s="444" t="s">
        <v>507</v>
      </c>
      <c r="F22" s="458">
        <v>0.05</v>
      </c>
    </row>
    <row r="23" ht="14.25" customHeight="1">
      <c r="B23" s="446" t="s">
        <v>508</v>
      </c>
      <c r="C23" s="397"/>
      <c r="E23" s="444" t="s">
        <v>509</v>
      </c>
      <c r="F23" s="461">
        <v>30.0</v>
      </c>
    </row>
    <row r="24" ht="14.25" customHeight="1">
      <c r="B24" s="225" t="s">
        <v>510</v>
      </c>
      <c r="C24" s="462">
        <v>9000.0</v>
      </c>
      <c r="E24" s="444" t="s">
        <v>511</v>
      </c>
      <c r="F24" s="458">
        <v>0.1</v>
      </c>
    </row>
    <row r="25" ht="14.25" customHeight="1">
      <c r="B25" s="216"/>
      <c r="C25" s="463"/>
      <c r="E25" s="464" t="s">
        <v>512</v>
      </c>
      <c r="F25" s="465">
        <v>0.228915505</v>
      </c>
    </row>
    <row r="26" ht="14.25" customHeight="1">
      <c r="B26" s="216"/>
      <c r="C26" s="463"/>
      <c r="E26" s="466" t="s">
        <v>513</v>
      </c>
      <c r="F26" s="467">
        <v>0.75</v>
      </c>
    </row>
    <row r="27" ht="14.25" customHeight="1">
      <c r="B27" s="216"/>
      <c r="C27" s="463"/>
      <c r="E27" s="466" t="s">
        <v>514</v>
      </c>
      <c r="F27" s="467">
        <v>40.0</v>
      </c>
    </row>
    <row r="28" ht="14.25" customHeight="1">
      <c r="B28" s="216"/>
      <c r="C28" s="463"/>
      <c r="E28" s="466" t="s">
        <v>515</v>
      </c>
      <c r="F28" s="467">
        <f>F26*F27</f>
        <v>30</v>
      </c>
    </row>
    <row r="29" ht="14.25" customHeight="1">
      <c r="B29" s="216"/>
      <c r="C29" s="463"/>
      <c r="E29" s="466" t="s">
        <v>516</v>
      </c>
      <c r="F29" s="468">
        <v>0.45</v>
      </c>
    </row>
    <row r="30" ht="14.25" customHeight="1">
      <c r="B30" s="216"/>
      <c r="C30" s="463"/>
      <c r="E30" s="466" t="s">
        <v>517</v>
      </c>
      <c r="F30" s="468">
        <f>F29*F28</f>
        <v>13.5</v>
      </c>
    </row>
    <row r="31" ht="14.25" customHeight="1">
      <c r="B31" s="216"/>
      <c r="C31" s="463"/>
      <c r="E31" s="466" t="s">
        <v>518</v>
      </c>
      <c r="F31" s="468">
        <v>246.0</v>
      </c>
    </row>
    <row r="32" ht="14.25" customHeight="1">
      <c r="B32" s="216" t="s">
        <v>519</v>
      </c>
      <c r="C32" s="463">
        <v>2000.0</v>
      </c>
      <c r="E32" s="459" t="s">
        <v>520</v>
      </c>
      <c r="F32" s="469">
        <v>0.02</v>
      </c>
    </row>
    <row r="33" ht="14.25" customHeight="1">
      <c r="B33" s="216" t="s">
        <v>521</v>
      </c>
      <c r="C33" s="463">
        <v>3000.0</v>
      </c>
    </row>
    <row r="34" ht="14.25" customHeight="1">
      <c r="B34" s="216" t="s">
        <v>522</v>
      </c>
      <c r="C34" s="463">
        <v>400.0</v>
      </c>
      <c r="E34" s="1" t="s">
        <v>523</v>
      </c>
      <c r="F34" s="3"/>
    </row>
    <row r="35" ht="14.25" customHeight="1">
      <c r="B35" s="470" t="s">
        <v>524</v>
      </c>
      <c r="C35" s="471">
        <v>1020.0</v>
      </c>
      <c r="E35" s="216" t="s">
        <v>525</v>
      </c>
      <c r="F35" s="472">
        <v>40.0</v>
      </c>
    </row>
    <row r="36" ht="14.25" customHeight="1">
      <c r="B36" s="473" t="s">
        <v>526</v>
      </c>
      <c r="C36" s="474">
        <f>C24*'OM Inventory'!E113</f>
        <v>83.33333333</v>
      </c>
      <c r="E36" s="218" t="s">
        <v>505</v>
      </c>
      <c r="F36" s="226">
        <v>0.3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mergeCells count="7">
    <mergeCell ref="B2:C2"/>
    <mergeCell ref="E2:F2"/>
    <mergeCell ref="B4:C4"/>
    <mergeCell ref="E12:F12"/>
    <mergeCell ref="B14:C14"/>
    <mergeCell ref="B23:C23"/>
    <mergeCell ref="E34:F3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1.13"/>
    <col customWidth="1" min="3" max="3" width="14.88"/>
    <col customWidth="1" min="4" max="7" width="12.88"/>
    <col customWidth="1" min="8" max="21" width="8.63"/>
  </cols>
  <sheetData>
    <row r="1" ht="14.25" customHeight="1"/>
    <row r="2" ht="14.25" customHeight="1">
      <c r="B2" s="1" t="s">
        <v>9</v>
      </c>
      <c r="C2" s="3"/>
    </row>
    <row r="3" ht="14.25" customHeight="1"/>
    <row r="4" ht="14.25" customHeight="1">
      <c r="B4" s="237" t="s">
        <v>527</v>
      </c>
      <c r="C4" s="475" t="s">
        <v>32</v>
      </c>
      <c r="D4" s="475" t="s">
        <v>33</v>
      </c>
      <c r="E4" s="475" t="s">
        <v>34</v>
      </c>
      <c r="F4" s="475" t="s">
        <v>35</v>
      </c>
      <c r="G4" s="476" t="s">
        <v>36</v>
      </c>
    </row>
    <row r="5" ht="14.25" customHeight="1">
      <c r="B5" s="225" t="s">
        <v>528</v>
      </c>
      <c r="C5" s="477">
        <f>'MK Weighted Price Calculations'!C11</f>
        <v>70</v>
      </c>
      <c r="D5" s="478">
        <f>'MK Weighted Price Calculations'!C20</f>
        <v>70</v>
      </c>
      <c r="E5" s="478">
        <f>'MK Weighted Price Calculations'!C29</f>
        <v>69.36363636</v>
      </c>
      <c r="F5" s="478">
        <f>'MK Weighted Price Calculations'!C38</f>
        <v>67.48518519</v>
      </c>
      <c r="G5" s="479">
        <f>'MK Weighted Price Calculations'!C47</f>
        <v>66.69090909</v>
      </c>
    </row>
    <row r="6" ht="14.25" customHeight="1">
      <c r="B6" s="216" t="s">
        <v>529</v>
      </c>
      <c r="C6" s="480">
        <f t="shared" ref="C6:G6" si="1">C5-C8</f>
        <v>35.5</v>
      </c>
      <c r="D6" s="480">
        <f t="shared" si="1"/>
        <v>36.02941176</v>
      </c>
      <c r="E6" s="61">
        <f t="shared" si="1"/>
        <v>36.24090909</v>
      </c>
      <c r="F6" s="61">
        <f t="shared" si="1"/>
        <v>35.8762963</v>
      </c>
      <c r="G6" s="314">
        <f t="shared" si="1"/>
        <v>35.75090909</v>
      </c>
    </row>
    <row r="7" ht="14.25" customHeight="1">
      <c r="B7" s="481" t="s">
        <v>530</v>
      </c>
      <c r="C7" s="79">
        <f t="shared" ref="C7:G7" si="2">C6/C5</f>
        <v>0.5071428571</v>
      </c>
      <c r="D7" s="79">
        <f t="shared" si="2"/>
        <v>0.5147058824</v>
      </c>
      <c r="E7" s="79">
        <f t="shared" si="2"/>
        <v>0.5224770642</v>
      </c>
      <c r="F7" s="79">
        <f t="shared" si="2"/>
        <v>0.5316173646</v>
      </c>
      <c r="G7" s="228">
        <f t="shared" si="2"/>
        <v>0.5360687023</v>
      </c>
    </row>
    <row r="8" ht="14.25" customHeight="1">
      <c r="B8" s="216" t="s">
        <v>531</v>
      </c>
      <c r="C8" s="480">
        <f>'FE Assumptions'!C35</f>
        <v>34.5</v>
      </c>
      <c r="D8" s="480">
        <f>'FE Assumptions'!D35</f>
        <v>33.97058824</v>
      </c>
      <c r="E8" s="61">
        <f>'FE Assumptions'!E35</f>
        <v>33.12272727</v>
      </c>
      <c r="F8" s="61">
        <f>'FE Assumptions'!F35</f>
        <v>31.60888889</v>
      </c>
      <c r="G8" s="314">
        <f>'FE Assumptions'!G35</f>
        <v>30.94</v>
      </c>
    </row>
    <row r="9" ht="14.25" customHeight="1">
      <c r="B9" s="481" t="s">
        <v>532</v>
      </c>
      <c r="C9" s="79">
        <f t="shared" ref="C9:G9" si="3">C8/C5</f>
        <v>0.4928571429</v>
      </c>
      <c r="D9" s="79">
        <f t="shared" si="3"/>
        <v>0.4852941176</v>
      </c>
      <c r="E9" s="79">
        <f t="shared" si="3"/>
        <v>0.4775229358</v>
      </c>
      <c r="F9" s="79">
        <f t="shared" si="3"/>
        <v>0.4683826354</v>
      </c>
      <c r="G9" s="228">
        <f t="shared" si="3"/>
        <v>0.4639312977</v>
      </c>
    </row>
    <row r="10" ht="14.25" customHeight="1">
      <c r="B10" s="216" t="s">
        <v>533</v>
      </c>
      <c r="C10" s="480">
        <f>'FE Income Statement'!C35</f>
        <v>9.131577696</v>
      </c>
      <c r="D10" s="480">
        <f>'FE Income Statement'!D35</f>
        <v>7.636147294</v>
      </c>
      <c r="E10" s="480">
        <f>'FE Income Statement'!E35</f>
        <v>7.064458525</v>
      </c>
      <c r="F10" s="480">
        <f>'FE Income Statement'!F35</f>
        <v>6.317555581</v>
      </c>
      <c r="G10" s="482">
        <f>'FE Income Statement'!G35</f>
        <v>5.739841469</v>
      </c>
      <c r="I10" s="483"/>
    </row>
    <row r="11" ht="14.25" customHeight="1">
      <c r="B11" s="481" t="s">
        <v>532</v>
      </c>
      <c r="C11" s="79">
        <f t="shared" ref="C11:G11" si="4">C10/C8</f>
        <v>0.2646834115</v>
      </c>
      <c r="D11" s="79">
        <f t="shared" si="4"/>
        <v>0.2247870199</v>
      </c>
      <c r="E11" s="79">
        <f t="shared" si="4"/>
        <v>0.2132813058</v>
      </c>
      <c r="F11" s="79">
        <f t="shared" si="4"/>
        <v>0.1998664237</v>
      </c>
      <c r="G11" s="228">
        <f t="shared" si="4"/>
        <v>0.1855152382</v>
      </c>
    </row>
    <row r="12" ht="14.25" customHeight="1">
      <c r="B12" s="216" t="s">
        <v>534</v>
      </c>
      <c r="C12" s="480">
        <f>'FE Income Statement'!C30+('FE Income Statement'!C36/'FE Assumptions'!C28)</f>
        <v>14.30019211</v>
      </c>
      <c r="D12" s="480">
        <f>'FE Income Statement'!D30+('FE Income Statement'!D36/'FE Assumptions'!D28)</f>
        <v>8.848803536</v>
      </c>
      <c r="E12" s="480">
        <f>'FE Income Statement'!E30+('FE Income Statement'!E36/'FE Assumptions'!E28)</f>
        <v>8.566501325</v>
      </c>
      <c r="F12" s="480">
        <f>'FE Income Statement'!F30+('FE Income Statement'!F36/'FE Assumptions'!F28)</f>
        <v>6.857941502</v>
      </c>
      <c r="G12" s="482">
        <f>'FE Income Statement'!G30+('FE Income Statement'!G36/'FE Assumptions'!G28)</f>
        <v>6.092239188</v>
      </c>
    </row>
    <row r="13" ht="14.25" customHeight="1">
      <c r="B13" s="481" t="s">
        <v>532</v>
      </c>
      <c r="C13" s="79">
        <f t="shared" ref="C13:G13" si="5">C12/C8</f>
        <v>0.4144983221</v>
      </c>
      <c r="D13" s="79">
        <f t="shared" si="5"/>
        <v>0.2604842599</v>
      </c>
      <c r="E13" s="79">
        <f t="shared" si="5"/>
        <v>0.2586291055</v>
      </c>
      <c r="F13" s="79">
        <f t="shared" si="5"/>
        <v>0.216962435</v>
      </c>
      <c r="G13" s="228">
        <f t="shared" si="5"/>
        <v>0.1969049511</v>
      </c>
    </row>
    <row r="14" ht="14.25" customHeight="1">
      <c r="B14" s="216" t="s">
        <v>535</v>
      </c>
      <c r="C14" s="311">
        <f>'FE Income Statement'!C40</f>
        <v>0</v>
      </c>
      <c r="D14" s="311">
        <f>'FE Income Statement'!D40</f>
        <v>1.055694196</v>
      </c>
      <c r="E14" s="311">
        <f>'FE Income Statement'!E40</f>
        <v>1.034580617</v>
      </c>
      <c r="F14" s="311">
        <f>'FE Income Statement'!F40</f>
        <v>1.558384634</v>
      </c>
      <c r="G14" s="232">
        <f>'FE Income Statement'!G40</f>
        <v>1.829265247</v>
      </c>
    </row>
    <row r="15" ht="14.25" customHeight="1">
      <c r="B15" s="481" t="s">
        <v>532</v>
      </c>
      <c r="C15" s="79">
        <f t="shared" ref="C15:G15" si="6">C14/C8</f>
        <v>0</v>
      </c>
      <c r="D15" s="79">
        <f t="shared" si="6"/>
        <v>0.03107671225</v>
      </c>
      <c r="E15" s="79">
        <f t="shared" si="6"/>
        <v>0.03123476545</v>
      </c>
      <c r="F15" s="79">
        <f t="shared" si="6"/>
        <v>0.04930210104</v>
      </c>
      <c r="G15" s="228">
        <f t="shared" si="6"/>
        <v>0.05912298796</v>
      </c>
    </row>
    <row r="16" ht="14.25" customHeight="1">
      <c r="B16" s="216" t="s">
        <v>536</v>
      </c>
      <c r="C16" s="480">
        <f>'FE Income Statement'!C43</f>
        <v>-3.359044089</v>
      </c>
      <c r="D16" s="480">
        <f>'FE Income Statement'!D43</f>
        <v>2.854284307</v>
      </c>
      <c r="E16" s="480">
        <f>'FE Income Statement'!E43</f>
        <v>2.797199447</v>
      </c>
      <c r="F16" s="480">
        <f>'FE Income Statement'!F43</f>
        <v>4.213410306</v>
      </c>
      <c r="G16" s="482">
        <f>'FE Income Statement'!G43</f>
        <v>4.945791225</v>
      </c>
    </row>
    <row r="17" ht="14.25" customHeight="1">
      <c r="B17" s="481" t="s">
        <v>532</v>
      </c>
      <c r="C17" s="79">
        <f t="shared" ref="C17:G17" si="7">C16/C8</f>
        <v>-0.09736359679</v>
      </c>
      <c r="D17" s="79">
        <f t="shared" si="7"/>
        <v>0.08402222202</v>
      </c>
      <c r="E17" s="79">
        <f t="shared" si="7"/>
        <v>0.08444955104</v>
      </c>
      <c r="F17" s="79">
        <f t="shared" si="7"/>
        <v>0.1332982732</v>
      </c>
      <c r="G17" s="228">
        <f t="shared" si="7"/>
        <v>0.1598510415</v>
      </c>
    </row>
    <row r="18" ht="14.25" customHeight="1">
      <c r="B18" s="484" t="s">
        <v>537</v>
      </c>
      <c r="C18" s="485">
        <f t="shared" ref="C18:G18" si="8">C8-C10-C12-C14-C16</f>
        <v>14.42727428</v>
      </c>
      <c r="D18" s="485">
        <f t="shared" si="8"/>
        <v>13.5756589</v>
      </c>
      <c r="E18" s="485">
        <f t="shared" si="8"/>
        <v>13.65998736</v>
      </c>
      <c r="F18" s="485">
        <f t="shared" si="8"/>
        <v>12.66159687</v>
      </c>
      <c r="G18" s="486">
        <f t="shared" si="8"/>
        <v>12.33286287</v>
      </c>
    </row>
    <row r="19" ht="14.25" customHeight="1">
      <c r="B19" s="487" t="s">
        <v>532</v>
      </c>
      <c r="C19" s="480">
        <f t="shared" ref="C19:G19" si="9">C18/C8</f>
        <v>0.4181818632</v>
      </c>
      <c r="D19" s="480">
        <f t="shared" si="9"/>
        <v>0.3996297859</v>
      </c>
      <c r="E19" s="480">
        <f t="shared" si="9"/>
        <v>0.4124052722</v>
      </c>
      <c r="F19" s="480">
        <f t="shared" si="9"/>
        <v>0.400570767</v>
      </c>
      <c r="G19" s="482">
        <f t="shared" si="9"/>
        <v>0.3986057812</v>
      </c>
    </row>
    <row r="20" ht="14.25" customHeight="1">
      <c r="B20" s="488" t="s">
        <v>538</v>
      </c>
      <c r="C20" s="480">
        <f>'FE Income Statement'!C11</f>
        <v>6.69</v>
      </c>
      <c r="D20" s="480">
        <f>'FE Income Statement'!D11</f>
        <v>6.69</v>
      </c>
      <c r="E20" s="480">
        <f>'FE Income Statement'!E11</f>
        <v>6.69</v>
      </c>
      <c r="F20" s="480">
        <f>'FE Income Statement'!F11</f>
        <v>6.69</v>
      </c>
      <c r="G20" s="482">
        <f>'FE Income Statement'!G11</f>
        <v>6.69</v>
      </c>
      <c r="H20" s="489"/>
    </row>
    <row r="21" ht="14.25" customHeight="1">
      <c r="B21" s="481" t="s">
        <v>539</v>
      </c>
      <c r="C21" s="79">
        <f t="shared" ref="C21:G21" si="10">C20/C18</f>
        <v>0.4637050541</v>
      </c>
      <c r="D21" s="79">
        <f t="shared" si="10"/>
        <v>0.4927937604</v>
      </c>
      <c r="E21" s="79">
        <f t="shared" si="10"/>
        <v>0.4897515514</v>
      </c>
      <c r="F21" s="79">
        <f t="shared" si="10"/>
        <v>0.5283693732</v>
      </c>
      <c r="G21" s="228">
        <f t="shared" si="10"/>
        <v>0.5424531246</v>
      </c>
    </row>
    <row r="22" ht="14.25" customHeight="1">
      <c r="B22" s="216" t="s">
        <v>540</v>
      </c>
      <c r="C22" s="480">
        <f>'FE Income Statement'!C13</f>
        <v>2.828934411</v>
      </c>
      <c r="D22" s="480">
        <f>'FE Income Statement'!D13</f>
        <v>2.96509299</v>
      </c>
      <c r="E22" s="480">
        <f>'FE Income Statement'!E13</f>
        <v>3.34981846</v>
      </c>
      <c r="F22" s="480">
        <f>'FE Income Statement'!F13</f>
        <v>2.745933786</v>
      </c>
      <c r="G22" s="482">
        <f>'FE Income Statement'!G13</f>
        <v>2.676576136</v>
      </c>
    </row>
    <row r="23" ht="14.25" customHeight="1">
      <c r="B23" s="481" t="s">
        <v>539</v>
      </c>
      <c r="C23" s="79">
        <f t="shared" ref="C23:G23" si="11">C22/C18</f>
        <v>0.1960823892</v>
      </c>
      <c r="D23" s="79">
        <f t="shared" si="11"/>
        <v>0.2184124551</v>
      </c>
      <c r="E23" s="79">
        <f t="shared" si="11"/>
        <v>0.2452285183</v>
      </c>
      <c r="F23" s="79">
        <f t="shared" si="11"/>
        <v>0.2168710483</v>
      </c>
      <c r="G23" s="228">
        <f t="shared" si="11"/>
        <v>0.2170279654</v>
      </c>
    </row>
    <row r="24" ht="14.25" customHeight="1">
      <c r="B24" s="216" t="s">
        <v>541</v>
      </c>
      <c r="C24" s="480">
        <f>'FE Income Statement'!C19</f>
        <v>4.085697012</v>
      </c>
      <c r="D24" s="480">
        <f>'FE Income Statement'!D19</f>
        <v>3.061755912</v>
      </c>
      <c r="E24" s="480">
        <f>'FE Income Statement'!E19</f>
        <v>2.742048498</v>
      </c>
      <c r="F24" s="480">
        <f>'FE Income Statement'!F19</f>
        <v>2.358688833</v>
      </c>
      <c r="G24" s="482">
        <f>'FE Income Statement'!G19</f>
        <v>2.100825299</v>
      </c>
    </row>
    <row r="25" ht="14.25" customHeight="1">
      <c r="B25" s="481" t="s">
        <v>539</v>
      </c>
      <c r="C25" s="79">
        <f t="shared" ref="C25:G25" si="12">C24/C18</f>
        <v>0.2831925791</v>
      </c>
      <c r="D25" s="79">
        <f t="shared" si="12"/>
        <v>0.2255327667</v>
      </c>
      <c r="E25" s="79">
        <f t="shared" si="12"/>
        <v>0.2007358006</v>
      </c>
      <c r="F25" s="79">
        <f t="shared" si="12"/>
        <v>0.1862868371</v>
      </c>
      <c r="G25" s="228">
        <f t="shared" si="12"/>
        <v>0.1703436842</v>
      </c>
    </row>
    <row r="26" ht="14.25" customHeight="1">
      <c r="B26" s="216" t="s">
        <v>542</v>
      </c>
      <c r="C26" s="480">
        <f>'FE Income Statement'!C15</f>
        <v>0.669</v>
      </c>
      <c r="D26" s="480">
        <f>'FE Income Statement'!D15</f>
        <v>0.669</v>
      </c>
      <c r="E26" s="480">
        <f>'FE Income Statement'!E15</f>
        <v>0.669</v>
      </c>
      <c r="F26" s="480">
        <f>'FE Income Statement'!F15</f>
        <v>0.669</v>
      </c>
      <c r="G26" s="482">
        <f>'FE Income Statement'!G15</f>
        <v>0.669</v>
      </c>
    </row>
    <row r="27" ht="14.25" customHeight="1">
      <c r="B27" s="481" t="s">
        <v>539</v>
      </c>
      <c r="C27" s="79">
        <f t="shared" ref="C27:G27" si="13">C26/C18</f>
        <v>0.04637050541</v>
      </c>
      <c r="D27" s="79">
        <f t="shared" si="13"/>
        <v>0.04927937604</v>
      </c>
      <c r="E27" s="79">
        <f t="shared" si="13"/>
        <v>0.04897515514</v>
      </c>
      <c r="F27" s="79">
        <f t="shared" si="13"/>
        <v>0.05283693732</v>
      </c>
      <c r="G27" s="228">
        <f t="shared" si="13"/>
        <v>0.05424531246</v>
      </c>
    </row>
    <row r="28" ht="14.25" customHeight="1">
      <c r="B28" s="216" t="s">
        <v>543</v>
      </c>
      <c r="C28" s="480">
        <f>'FE Income Statement'!C17</f>
        <v>0.1536428571</v>
      </c>
      <c r="D28" s="480">
        <f>'FE Income Statement'!D17</f>
        <v>0.18981</v>
      </c>
      <c r="E28" s="480">
        <f>'FE Income Statement'!E17</f>
        <v>0.2091204</v>
      </c>
      <c r="F28" s="480">
        <f>'FE Income Statement'!F17</f>
        <v>0.197974248</v>
      </c>
      <c r="G28" s="482">
        <f>'FE Income Statement'!G17</f>
        <v>0.196461437</v>
      </c>
    </row>
    <row r="29" ht="14.25" customHeight="1">
      <c r="B29" s="490" t="s">
        <v>539</v>
      </c>
      <c r="C29" s="491">
        <f t="shared" ref="C29:G29" si="14">C28/C18</f>
        <v>0.01064947225</v>
      </c>
      <c r="D29" s="491">
        <f t="shared" si="14"/>
        <v>0.0139816418</v>
      </c>
      <c r="E29" s="491">
        <f t="shared" si="14"/>
        <v>0.01530897464</v>
      </c>
      <c r="F29" s="491">
        <f t="shared" si="14"/>
        <v>0.01563580408</v>
      </c>
      <c r="G29" s="492">
        <f t="shared" si="14"/>
        <v>0.01592991336</v>
      </c>
    </row>
    <row r="30" ht="14.25" customHeight="1">
      <c r="B30" s="484" t="s">
        <v>544</v>
      </c>
      <c r="C30" s="493" t="b">
        <f t="shared" ref="C30:G30" si="15">SUM(C20,C22,C24,C26,C28)=C18</f>
        <v>1</v>
      </c>
      <c r="D30" s="493" t="b">
        <f t="shared" si="15"/>
        <v>1</v>
      </c>
      <c r="E30" s="493" t="b">
        <f t="shared" si="15"/>
        <v>1</v>
      </c>
      <c r="F30" s="493" t="b">
        <f t="shared" si="15"/>
        <v>1</v>
      </c>
      <c r="G30" s="494" t="b">
        <f t="shared" si="15"/>
        <v>1</v>
      </c>
    </row>
    <row r="31" ht="14.25" customHeight="1">
      <c r="C31" s="483"/>
      <c r="D31" s="483"/>
      <c r="E31" s="483"/>
      <c r="F31" s="483"/>
      <c r="G31" s="483"/>
    </row>
    <row r="32" ht="14.25" customHeight="1">
      <c r="C32" s="495"/>
      <c r="D32" s="495"/>
      <c r="E32" s="495"/>
      <c r="F32" s="495"/>
      <c r="G32" s="495"/>
    </row>
    <row r="33" ht="14.25" customHeight="1">
      <c r="C33" s="496"/>
      <c r="D33" s="496"/>
      <c r="E33" s="496"/>
      <c r="F33" s="496"/>
      <c r="G33" s="496"/>
    </row>
    <row r="34" ht="14.25" customHeight="1">
      <c r="C34" s="496"/>
      <c r="D34" s="496"/>
      <c r="E34" s="496"/>
      <c r="F34" s="496"/>
      <c r="G34" s="496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38"/>
    <col customWidth="1" min="2" max="2" width="48.13"/>
    <col customWidth="1" min="3" max="4" width="25.38"/>
    <col customWidth="1" min="5" max="5" width="21.25"/>
    <col customWidth="1" min="6" max="6" width="21.38"/>
    <col customWidth="1" min="7" max="7" width="21.25"/>
    <col customWidth="1" min="8" max="8" width="21.38"/>
    <col customWidth="1" min="9" max="9" width="23.88"/>
    <col customWidth="1" min="11" max="11" width="18.25"/>
  </cols>
  <sheetData>
    <row r="2">
      <c r="B2" s="1" t="s">
        <v>508</v>
      </c>
      <c r="C2" s="3"/>
      <c r="D2" s="364"/>
    </row>
    <row r="4">
      <c r="B4" s="237" t="s">
        <v>545</v>
      </c>
    </row>
    <row r="5">
      <c r="B5" s="326" t="s">
        <v>546</v>
      </c>
      <c r="C5" s="475" t="s">
        <v>547</v>
      </c>
      <c r="D5" s="475" t="s">
        <v>548</v>
      </c>
      <c r="E5" s="475" t="s">
        <v>549</v>
      </c>
      <c r="F5" s="475" t="s">
        <v>550</v>
      </c>
      <c r="G5" s="475" t="s">
        <v>551</v>
      </c>
      <c r="H5" s="475" t="s">
        <v>552</v>
      </c>
      <c r="I5" s="476" t="s">
        <v>553</v>
      </c>
    </row>
    <row r="6">
      <c r="B6" s="225" t="s">
        <v>554</v>
      </c>
      <c r="C6" s="296">
        <v>10.0</v>
      </c>
      <c r="D6" s="296">
        <v>1.0</v>
      </c>
      <c r="E6" s="296">
        <v>1.0</v>
      </c>
      <c r="F6" s="296">
        <v>1.0</v>
      </c>
      <c r="G6" s="296">
        <v>1.0</v>
      </c>
      <c r="H6" s="296">
        <v>1.0</v>
      </c>
      <c r="I6" s="297">
        <v>1.0</v>
      </c>
      <c r="J6" s="161"/>
      <c r="K6" s="161"/>
    </row>
    <row r="7">
      <c r="B7" s="216" t="s">
        <v>555</v>
      </c>
      <c r="C7" s="497">
        <v>7.0</v>
      </c>
      <c r="D7" s="497">
        <v>1.0</v>
      </c>
      <c r="E7" s="497">
        <v>1.0</v>
      </c>
      <c r="F7" s="497">
        <v>1.0</v>
      </c>
      <c r="G7" s="497">
        <v>1.0</v>
      </c>
      <c r="H7" s="497">
        <v>1.0</v>
      </c>
      <c r="I7" s="498">
        <v>1.0</v>
      </c>
    </row>
    <row r="8">
      <c r="B8" s="216" t="s">
        <v>556</v>
      </c>
      <c r="C8" s="497">
        <v>10.0</v>
      </c>
      <c r="D8" s="497">
        <v>3.0</v>
      </c>
      <c r="E8" s="497">
        <f>'MK Sales Projections'!C14/'OM Assumptions'!$C$24</f>
        <v>5.246593028</v>
      </c>
      <c r="F8" s="497">
        <f>'MK Sales Projections'!D14/'OM Assumptions'!$C$24</f>
        <v>9.022714417</v>
      </c>
      <c r="G8" s="497">
        <f>'MK Sales Projections'!E14/'OM Assumptions'!$C$24</f>
        <v>11.75150373</v>
      </c>
      <c r="H8" s="497">
        <f>'MK Sales Projections'!F14/'OM Assumptions'!$C$24</f>
        <v>17.71915978</v>
      </c>
      <c r="I8" s="498">
        <f>'MK Sales Projections'!G14/'OM Assumptions'!$C$24</f>
        <v>26.52518878</v>
      </c>
    </row>
    <row r="9">
      <c r="B9" s="216" t="s">
        <v>557</v>
      </c>
      <c r="C9" s="497">
        <v>10.0</v>
      </c>
      <c r="D9" s="497">
        <v>1.0</v>
      </c>
      <c r="E9" s="497">
        <v>1.0</v>
      </c>
      <c r="F9" s="497">
        <v>1.0</v>
      </c>
      <c r="G9" s="497">
        <v>1.0</v>
      </c>
      <c r="H9" s="497">
        <v>1.0</v>
      </c>
      <c r="I9" s="498">
        <v>1.0</v>
      </c>
    </row>
    <row r="10">
      <c r="B10" s="216" t="s">
        <v>558</v>
      </c>
      <c r="C10" s="305">
        <v>7.0</v>
      </c>
      <c r="D10" s="305">
        <v>1.0</v>
      </c>
      <c r="E10" s="305">
        <v>1.0</v>
      </c>
      <c r="F10" s="305">
        <v>1.0</v>
      </c>
      <c r="G10" s="305">
        <v>1.0</v>
      </c>
      <c r="H10" s="305">
        <v>1.0</v>
      </c>
      <c r="I10" s="217">
        <v>1.0</v>
      </c>
    </row>
    <row r="11">
      <c r="B11" s="216" t="s">
        <v>559</v>
      </c>
      <c r="C11" s="305">
        <v>6.0</v>
      </c>
      <c r="D11" s="305">
        <v>10.0</v>
      </c>
      <c r="E11" s="305">
        <f>'MK Sales Projections'!C14/'OM Assumptions'!$C$32</f>
        <v>23.60966862</v>
      </c>
      <c r="F11" s="305">
        <f>'MK Sales Projections'!D14/'OM Assumptions'!$C$32</f>
        <v>40.60221488</v>
      </c>
      <c r="G11" s="305">
        <f>'MK Sales Projections'!E14/'OM Assumptions'!$C$32</f>
        <v>52.88176678</v>
      </c>
      <c r="H11" s="305">
        <f>'MK Sales Projections'!F14/'OM Assumptions'!$C$32</f>
        <v>79.736219</v>
      </c>
      <c r="I11" s="217">
        <f>'MK Sales Projections'!G14/'OM Assumptions'!$C$32</f>
        <v>119.3633495</v>
      </c>
    </row>
    <row r="12">
      <c r="B12" s="216" t="s">
        <v>560</v>
      </c>
      <c r="C12" s="497">
        <v>10.0</v>
      </c>
      <c r="D12" s="497">
        <v>2.0</v>
      </c>
      <c r="E12" s="497">
        <v>2.0</v>
      </c>
      <c r="F12" s="497">
        <v>2.0</v>
      </c>
      <c r="G12" s="497">
        <v>2.0</v>
      </c>
      <c r="H12" s="497">
        <v>2.0</v>
      </c>
      <c r="I12" s="498">
        <v>2.0</v>
      </c>
    </row>
    <row r="13">
      <c r="B13" s="499" t="s">
        <v>561</v>
      </c>
      <c r="C13" s="500">
        <v>15.0</v>
      </c>
      <c r="D13" s="500">
        <v>1.0</v>
      </c>
      <c r="E13" s="500">
        <v>1.0</v>
      </c>
      <c r="F13" s="500">
        <v>1.0</v>
      </c>
      <c r="G13" s="500">
        <v>1.0</v>
      </c>
      <c r="H13" s="500">
        <v>1.0</v>
      </c>
      <c r="I13" s="501">
        <v>1.0</v>
      </c>
    </row>
    <row r="14">
      <c r="B14" s="161"/>
      <c r="E14" s="161"/>
    </row>
    <row r="15">
      <c r="B15" s="188" t="s">
        <v>562</v>
      </c>
    </row>
    <row r="16">
      <c r="B16" s="326" t="s">
        <v>546</v>
      </c>
      <c r="C16" s="475" t="s">
        <v>547</v>
      </c>
      <c r="D16" s="475" t="s">
        <v>548</v>
      </c>
      <c r="E16" s="475" t="s">
        <v>549</v>
      </c>
      <c r="F16" s="475" t="s">
        <v>550</v>
      </c>
      <c r="G16" s="475" t="s">
        <v>551</v>
      </c>
      <c r="H16" s="475" t="s">
        <v>552</v>
      </c>
      <c r="I16" s="476" t="s">
        <v>553</v>
      </c>
    </row>
    <row r="17">
      <c r="B17" s="225" t="s">
        <v>563</v>
      </c>
      <c r="C17" s="296">
        <v>5.0</v>
      </c>
      <c r="D17" s="296">
        <v>1.0</v>
      </c>
      <c r="E17" s="296">
        <v>1.0</v>
      </c>
      <c r="F17" s="296">
        <v>1.0</v>
      </c>
      <c r="G17" s="296">
        <v>1.0</v>
      </c>
      <c r="H17" s="296">
        <v>1.0</v>
      </c>
      <c r="I17" s="297">
        <v>1.0</v>
      </c>
    </row>
    <row r="18">
      <c r="B18" s="216" t="s">
        <v>564</v>
      </c>
      <c r="C18" s="497">
        <v>5.0</v>
      </c>
      <c r="D18" s="497">
        <v>2.0</v>
      </c>
      <c r="E18" s="497">
        <v>2.0</v>
      </c>
      <c r="F18" s="497">
        <v>2.0</v>
      </c>
      <c r="G18" s="497">
        <v>2.0</v>
      </c>
      <c r="H18" s="497">
        <v>2.0</v>
      </c>
      <c r="I18" s="498">
        <v>2.0</v>
      </c>
    </row>
    <row r="19">
      <c r="B19" s="216" t="s">
        <v>565</v>
      </c>
      <c r="C19" s="497">
        <v>3.0</v>
      </c>
      <c r="D19" s="497">
        <v>2.0</v>
      </c>
      <c r="E19" s="497">
        <v>4.0</v>
      </c>
      <c r="F19" s="497">
        <v>9.0</v>
      </c>
      <c r="G19" s="497">
        <v>11.0</v>
      </c>
      <c r="H19" s="497">
        <v>13.0</v>
      </c>
      <c r="I19" s="498">
        <v>15.0</v>
      </c>
    </row>
    <row r="20">
      <c r="B20" s="216" t="s">
        <v>566</v>
      </c>
      <c r="C20" s="497">
        <v>3.0</v>
      </c>
      <c r="D20" s="497">
        <v>7.0</v>
      </c>
      <c r="E20" s="497">
        <v>8.0</v>
      </c>
      <c r="F20" s="497">
        <v>8.0</v>
      </c>
      <c r="G20" s="497">
        <v>9.0</v>
      </c>
      <c r="H20" s="497">
        <v>9.0</v>
      </c>
      <c r="I20" s="498">
        <v>10.0</v>
      </c>
    </row>
    <row r="21">
      <c r="B21" s="216" t="s">
        <v>567</v>
      </c>
      <c r="C21" s="305">
        <v>5.0</v>
      </c>
      <c r="D21" s="305">
        <v>5.0</v>
      </c>
      <c r="E21" s="305">
        <f t="shared" ref="E21:I21" si="1">E20</f>
        <v>8</v>
      </c>
      <c r="F21" s="305">
        <f t="shared" si="1"/>
        <v>8</v>
      </c>
      <c r="G21" s="305">
        <f t="shared" si="1"/>
        <v>9</v>
      </c>
      <c r="H21" s="305">
        <f t="shared" si="1"/>
        <v>9</v>
      </c>
      <c r="I21" s="217">
        <f t="shared" si="1"/>
        <v>10</v>
      </c>
    </row>
    <row r="22">
      <c r="B22" s="216" t="s">
        <v>568</v>
      </c>
      <c r="C22" s="305">
        <v>5.0</v>
      </c>
      <c r="D22" s="305">
        <v>1.0</v>
      </c>
      <c r="E22" s="305">
        <v>1.0</v>
      </c>
      <c r="F22" s="305">
        <v>1.0</v>
      </c>
      <c r="G22" s="305">
        <v>1.0</v>
      </c>
      <c r="H22" s="305">
        <v>1.0</v>
      </c>
      <c r="I22" s="217">
        <v>1.0</v>
      </c>
    </row>
    <row r="23">
      <c r="B23" s="216" t="s">
        <v>569</v>
      </c>
      <c r="C23" s="497">
        <v>5.0</v>
      </c>
      <c r="D23" s="305">
        <v>12.0</v>
      </c>
      <c r="E23" s="305">
        <v>12.0</v>
      </c>
      <c r="F23" s="305">
        <v>12.0</v>
      </c>
      <c r="G23" s="305">
        <v>12.0</v>
      </c>
      <c r="H23" s="305">
        <v>12.0</v>
      </c>
      <c r="I23" s="217">
        <v>12.0</v>
      </c>
    </row>
    <row r="24">
      <c r="B24" s="216" t="s">
        <v>570</v>
      </c>
      <c r="C24" s="497">
        <v>5.0</v>
      </c>
      <c r="D24" s="497">
        <v>2.0</v>
      </c>
      <c r="E24" s="497">
        <v>2.0</v>
      </c>
      <c r="F24" s="497">
        <v>2.0</v>
      </c>
      <c r="G24" s="497">
        <v>2.0</v>
      </c>
      <c r="H24" s="497">
        <v>2.0</v>
      </c>
      <c r="I24" s="498">
        <v>2.0</v>
      </c>
    </row>
    <row r="25">
      <c r="B25" s="216" t="s">
        <v>571</v>
      </c>
      <c r="C25" s="497">
        <v>5.0</v>
      </c>
      <c r="D25" s="497">
        <v>10.0</v>
      </c>
      <c r="E25" s="497">
        <f>'MK Sales Projections'!C14/'OM Assumptions'!$C$33</f>
        <v>15.73977908</v>
      </c>
      <c r="F25" s="497">
        <f>'MK Sales Projections'!D14/'OM Assumptions'!$C$33</f>
        <v>27.06814325</v>
      </c>
      <c r="G25" s="497">
        <f>'MK Sales Projections'!E14/'OM Assumptions'!$C$33</f>
        <v>35.25451119</v>
      </c>
      <c r="H25" s="497">
        <f>'MK Sales Projections'!F14/'OM Assumptions'!$C$33</f>
        <v>53.15747934</v>
      </c>
      <c r="I25" s="498">
        <f>'MK Sales Projections'!G14/'OM Assumptions'!$C$33</f>
        <v>79.57556635</v>
      </c>
    </row>
    <row r="26">
      <c r="B26" s="218" t="s">
        <v>572</v>
      </c>
      <c r="C26" s="502">
        <v>5.0</v>
      </c>
      <c r="D26" s="502">
        <v>50.0</v>
      </c>
      <c r="E26" s="502">
        <f>'MK Sales Projections'!C14/'OM Assumptions'!$C$34</f>
        <v>118.0483431</v>
      </c>
      <c r="F26" s="502">
        <f>'MK Sales Projections'!D14/'OM Assumptions'!$C$34</f>
        <v>203.0110744</v>
      </c>
      <c r="G26" s="502">
        <f>'MK Sales Projections'!E14/'OM Assumptions'!$C$34</f>
        <v>264.4088339</v>
      </c>
      <c r="H26" s="502">
        <f>'MK Sales Projections'!F14/'OM Assumptions'!$C$34</f>
        <v>398.681095</v>
      </c>
      <c r="I26" s="503">
        <f>'MK Sales Projections'!G14/'OM Assumptions'!$C$34</f>
        <v>596.8167476</v>
      </c>
    </row>
    <row r="29" ht="15.0" customHeight="1">
      <c r="B29" s="188" t="s">
        <v>573</v>
      </c>
    </row>
    <row r="30" ht="15.0" customHeight="1">
      <c r="B30" s="326" t="s">
        <v>546</v>
      </c>
      <c r="C30" s="475" t="s">
        <v>574</v>
      </c>
      <c r="D30" s="475" t="s">
        <v>548</v>
      </c>
      <c r="E30" s="475" t="s">
        <v>575</v>
      </c>
      <c r="F30" s="475" t="s">
        <v>576</v>
      </c>
      <c r="G30" s="475" t="s">
        <v>577</v>
      </c>
      <c r="H30" s="475" t="s">
        <v>578</v>
      </c>
      <c r="I30" s="475" t="s">
        <v>579</v>
      </c>
    </row>
    <row r="31" ht="15.0" customHeight="1">
      <c r="A31" s="161"/>
      <c r="B31" s="504" t="s">
        <v>554</v>
      </c>
      <c r="C31" s="505">
        <v>17500.0</v>
      </c>
      <c r="D31" s="402">
        <f>C31*D6</f>
        <v>17500</v>
      </c>
      <c r="E31" s="402">
        <f t="shared" ref="E31:I31" si="2">C31*(E6-D6)</f>
        <v>0</v>
      </c>
      <c r="F31" s="402">
        <f t="shared" si="2"/>
        <v>0</v>
      </c>
      <c r="G31" s="402">
        <f t="shared" si="2"/>
        <v>0</v>
      </c>
      <c r="H31" s="402">
        <f t="shared" si="2"/>
        <v>0</v>
      </c>
      <c r="I31" s="230">
        <f t="shared" si="2"/>
        <v>0</v>
      </c>
    </row>
    <row r="32" ht="15.0" customHeight="1">
      <c r="A32" s="161"/>
      <c r="B32" s="506" t="s">
        <v>555</v>
      </c>
      <c r="C32" s="375">
        <v>9000.0</v>
      </c>
      <c r="D32" s="375">
        <f t="shared" ref="D32:D37" si="4">$C32*D7</f>
        <v>9000</v>
      </c>
      <c r="E32" s="311">
        <f t="shared" ref="E32:I32" si="3">C32*(E7-D7)</f>
        <v>0</v>
      </c>
      <c r="F32" s="311">
        <f t="shared" si="3"/>
        <v>0</v>
      </c>
      <c r="G32" s="311">
        <f t="shared" si="3"/>
        <v>0</v>
      </c>
      <c r="H32" s="311">
        <f t="shared" si="3"/>
        <v>0</v>
      </c>
      <c r="I32" s="232">
        <f t="shared" si="3"/>
        <v>0</v>
      </c>
    </row>
    <row r="33" ht="15.0" customHeight="1">
      <c r="A33" s="161"/>
      <c r="B33" s="506" t="s">
        <v>556</v>
      </c>
      <c r="C33" s="375">
        <v>187.27</v>
      </c>
      <c r="D33" s="375">
        <f t="shared" si="4"/>
        <v>561.81</v>
      </c>
      <c r="E33" s="311">
        <f>$C33*E8</f>
        <v>982.5294763</v>
      </c>
      <c r="F33" s="311">
        <f>($C33*F8)-E33</f>
        <v>707.1542526</v>
      </c>
      <c r="G33" s="311">
        <f>($C33*G8)-F33-E33</f>
        <v>511.0203746</v>
      </c>
      <c r="H33" s="311">
        <f>($C33*H8)-G33-F33-E33</f>
        <v>1117.562948</v>
      </c>
      <c r="I33" s="232">
        <f>($C33*I8)-H33-G33-F33-E33</f>
        <v>1649.105052</v>
      </c>
    </row>
    <row r="34" ht="15.0" customHeight="1">
      <c r="A34" s="161"/>
      <c r="B34" s="506" t="s">
        <v>557</v>
      </c>
      <c r="C34" s="375">
        <v>25000.0</v>
      </c>
      <c r="D34" s="375">
        <f t="shared" si="4"/>
        <v>25000</v>
      </c>
      <c r="E34" s="311">
        <v>0.0</v>
      </c>
      <c r="F34" s="311">
        <v>0.0</v>
      </c>
      <c r="G34" s="311">
        <v>0.0</v>
      </c>
      <c r="H34" s="311">
        <v>0.0</v>
      </c>
      <c r="I34" s="232">
        <v>0.0</v>
      </c>
    </row>
    <row r="35" ht="15.0" customHeight="1">
      <c r="A35" s="161"/>
      <c r="B35" s="506" t="s">
        <v>558</v>
      </c>
      <c r="C35" s="375">
        <v>8495.0</v>
      </c>
      <c r="D35" s="375">
        <f t="shared" si="4"/>
        <v>8495</v>
      </c>
      <c r="E35" s="311">
        <v>0.0</v>
      </c>
      <c r="F35" s="311">
        <v>0.0</v>
      </c>
      <c r="G35" s="311">
        <v>0.0</v>
      </c>
      <c r="H35" s="311">
        <v>0.0</v>
      </c>
      <c r="I35" s="232">
        <v>0.0</v>
      </c>
    </row>
    <row r="36" ht="15.0" customHeight="1">
      <c r="A36" s="161"/>
      <c r="B36" s="506" t="s">
        <v>559</v>
      </c>
      <c r="C36" s="375">
        <v>25.0</v>
      </c>
      <c r="D36" s="375">
        <f t="shared" si="4"/>
        <v>250</v>
      </c>
      <c r="E36" s="311">
        <f t="shared" ref="E36:I36" si="5">$C36*(E11-D11)</f>
        <v>340.2417156</v>
      </c>
      <c r="F36" s="311">
        <f t="shared" si="5"/>
        <v>424.8136563</v>
      </c>
      <c r="G36" s="311">
        <f t="shared" si="5"/>
        <v>306.9887977</v>
      </c>
      <c r="H36" s="311">
        <f t="shared" si="5"/>
        <v>671.3613055</v>
      </c>
      <c r="I36" s="232">
        <f t="shared" si="5"/>
        <v>990.678263</v>
      </c>
    </row>
    <row r="37" ht="15.0" customHeight="1">
      <c r="A37" s="161"/>
      <c r="B37" s="506" t="s">
        <v>560</v>
      </c>
      <c r="C37" s="375">
        <v>698.97</v>
      </c>
      <c r="D37" s="375">
        <f t="shared" si="4"/>
        <v>1397.94</v>
      </c>
      <c r="E37" s="311">
        <v>0.0</v>
      </c>
      <c r="F37" s="311">
        <v>0.0</v>
      </c>
      <c r="G37" s="311">
        <v>0.0</v>
      </c>
      <c r="H37" s="311">
        <v>0.0</v>
      </c>
      <c r="I37" s="232">
        <v>0.0</v>
      </c>
    </row>
    <row r="38" ht="15.0" customHeight="1">
      <c r="A38" s="161"/>
      <c r="B38" s="507" t="s">
        <v>561</v>
      </c>
      <c r="C38" s="375">
        <v>2299.0</v>
      </c>
      <c r="D38" s="375">
        <f>C38*D13</f>
        <v>2299</v>
      </c>
      <c r="E38" s="311">
        <v>0.0</v>
      </c>
      <c r="F38" s="311">
        <v>0.0</v>
      </c>
      <c r="G38" s="311">
        <v>0.0</v>
      </c>
      <c r="H38" s="311">
        <v>0.0</v>
      </c>
      <c r="I38" s="232">
        <v>0.0</v>
      </c>
    </row>
    <row r="39" ht="15.0" customHeight="1">
      <c r="A39" s="161"/>
      <c r="B39" s="216" t="s">
        <v>563</v>
      </c>
      <c r="C39" s="375">
        <v>2000.0</v>
      </c>
      <c r="D39" s="375">
        <f t="shared" ref="D39:D48" si="6">$C39*D17</f>
        <v>2000</v>
      </c>
      <c r="E39" s="311">
        <v>0.0</v>
      </c>
      <c r="F39" s="311">
        <f t="shared" ref="F39:F40" si="7">$C39*F17</f>
        <v>2000</v>
      </c>
      <c r="G39" s="311">
        <v>0.0</v>
      </c>
      <c r="H39" s="311">
        <f t="shared" ref="H39:H40" si="8">$C39*H17</f>
        <v>2000</v>
      </c>
      <c r="I39" s="232">
        <v>0.0</v>
      </c>
    </row>
    <row r="40" ht="15.0" customHeight="1">
      <c r="A40" s="161"/>
      <c r="B40" s="216" t="s">
        <v>564</v>
      </c>
      <c r="C40" s="375">
        <f>'OM IS Expenses'!C19</f>
        <v>350</v>
      </c>
      <c r="D40" s="375">
        <f t="shared" si="6"/>
        <v>700</v>
      </c>
      <c r="E40" s="311">
        <v>0.0</v>
      </c>
      <c r="F40" s="311">
        <f t="shared" si="7"/>
        <v>700</v>
      </c>
      <c r="G40" s="311">
        <v>0.0</v>
      </c>
      <c r="H40" s="311">
        <f t="shared" si="8"/>
        <v>700</v>
      </c>
      <c r="I40" s="232">
        <v>0.0</v>
      </c>
    </row>
    <row r="41" ht="15.0" customHeight="1">
      <c r="A41" s="161"/>
      <c r="B41" s="216" t="s">
        <v>580</v>
      </c>
      <c r="C41" s="375">
        <f>'OM IS Expenses'!K7</f>
        <v>1500</v>
      </c>
      <c r="D41" s="375">
        <f t="shared" si="6"/>
        <v>3000</v>
      </c>
      <c r="E41" s="311">
        <f t="shared" ref="E41:I41" si="9">$C41*(E19-D19)</f>
        <v>3000</v>
      </c>
      <c r="F41" s="311">
        <f t="shared" si="9"/>
        <v>7500</v>
      </c>
      <c r="G41" s="311">
        <f t="shared" si="9"/>
        <v>3000</v>
      </c>
      <c r="H41" s="311">
        <f t="shared" si="9"/>
        <v>3000</v>
      </c>
      <c r="I41" s="232">
        <f t="shared" si="9"/>
        <v>3000</v>
      </c>
    </row>
    <row r="42" ht="15.0" customHeight="1">
      <c r="A42" s="161"/>
      <c r="B42" s="216" t="s">
        <v>566</v>
      </c>
      <c r="C42" s="375">
        <f>'OM IS Expenses'!K8</f>
        <v>1000</v>
      </c>
      <c r="D42" s="375">
        <f t="shared" si="6"/>
        <v>7000</v>
      </c>
      <c r="E42" s="311">
        <f t="shared" ref="E42:I42" si="10">$C42*(E20-D20)</f>
        <v>1000</v>
      </c>
      <c r="F42" s="311">
        <f t="shared" si="10"/>
        <v>0</v>
      </c>
      <c r="G42" s="311">
        <f t="shared" si="10"/>
        <v>1000</v>
      </c>
      <c r="H42" s="311">
        <f t="shared" si="10"/>
        <v>0</v>
      </c>
      <c r="I42" s="232">
        <f t="shared" si="10"/>
        <v>1000</v>
      </c>
    </row>
    <row r="43" ht="15.0" customHeight="1">
      <c r="A43" s="161"/>
      <c r="B43" s="506" t="s">
        <v>567</v>
      </c>
      <c r="C43" s="375">
        <f>'OM IS Expenses'!K9</f>
        <v>168</v>
      </c>
      <c r="D43" s="375">
        <f t="shared" si="6"/>
        <v>840</v>
      </c>
      <c r="E43" s="311">
        <f t="shared" ref="E43:I43" si="11">$C43*(E21-D21)</f>
        <v>504</v>
      </c>
      <c r="F43" s="311">
        <f t="shared" si="11"/>
        <v>0</v>
      </c>
      <c r="G43" s="311">
        <f t="shared" si="11"/>
        <v>168</v>
      </c>
      <c r="H43" s="311">
        <f t="shared" si="11"/>
        <v>0</v>
      </c>
      <c r="I43" s="232">
        <f t="shared" si="11"/>
        <v>168</v>
      </c>
    </row>
    <row r="44" ht="15.0" customHeight="1">
      <c r="A44" s="161"/>
      <c r="B44" s="506" t="s">
        <v>568</v>
      </c>
      <c r="C44" s="375">
        <f>'OM IS Expenses'!C20</f>
        <v>349</v>
      </c>
      <c r="D44" s="375">
        <f t="shared" si="6"/>
        <v>349</v>
      </c>
      <c r="E44" s="311">
        <f t="shared" ref="E44:I44" si="12">$C44*(E22-D22)</f>
        <v>0</v>
      </c>
      <c r="F44" s="311">
        <f t="shared" si="12"/>
        <v>0</v>
      </c>
      <c r="G44" s="311">
        <f t="shared" si="12"/>
        <v>0</v>
      </c>
      <c r="H44" s="311">
        <f t="shared" si="12"/>
        <v>0</v>
      </c>
      <c r="I44" s="232">
        <f t="shared" si="12"/>
        <v>0</v>
      </c>
    </row>
    <row r="45" ht="15.0" customHeight="1">
      <c r="A45" s="161"/>
      <c r="B45" s="506" t="s">
        <v>569</v>
      </c>
      <c r="C45" s="375">
        <f>'OM IS Expenses'!K10</f>
        <v>149.99</v>
      </c>
      <c r="D45" s="375">
        <f t="shared" si="6"/>
        <v>1799.88</v>
      </c>
      <c r="E45" s="311">
        <f t="shared" ref="E45:I45" si="13">$C45*(E23-D23)</f>
        <v>0</v>
      </c>
      <c r="F45" s="311">
        <f t="shared" si="13"/>
        <v>0</v>
      </c>
      <c r="G45" s="311">
        <f t="shared" si="13"/>
        <v>0</v>
      </c>
      <c r="H45" s="311">
        <f t="shared" si="13"/>
        <v>0</v>
      </c>
      <c r="I45" s="232">
        <f t="shared" si="13"/>
        <v>0</v>
      </c>
    </row>
    <row r="46" ht="15.0" customHeight="1">
      <c r="A46" s="161"/>
      <c r="B46" s="508" t="s">
        <v>581</v>
      </c>
      <c r="C46" s="375">
        <v>98.87</v>
      </c>
      <c r="D46" s="375">
        <f t="shared" si="6"/>
        <v>197.74</v>
      </c>
      <c r="E46" s="311">
        <f t="shared" ref="E46:I46" si="14">$C46*(E24-D24)</f>
        <v>0</v>
      </c>
      <c r="F46" s="311">
        <f t="shared" si="14"/>
        <v>0</v>
      </c>
      <c r="G46" s="311">
        <f t="shared" si="14"/>
        <v>0</v>
      </c>
      <c r="H46" s="311">
        <f t="shared" si="14"/>
        <v>0</v>
      </c>
      <c r="I46" s="232">
        <f t="shared" si="14"/>
        <v>0</v>
      </c>
    </row>
    <row r="47" ht="15.0" customHeight="1">
      <c r="A47" s="509"/>
      <c r="B47" s="506" t="s">
        <v>571</v>
      </c>
      <c r="C47" s="375">
        <v>145.0</v>
      </c>
      <c r="D47" s="375">
        <f t="shared" si="6"/>
        <v>1450</v>
      </c>
      <c r="E47" s="311">
        <f t="shared" ref="E47:I47" si="15">$C47*(E25-D25)</f>
        <v>832.267967</v>
      </c>
      <c r="F47" s="311">
        <f t="shared" si="15"/>
        <v>1642.612804</v>
      </c>
      <c r="G47" s="311">
        <f t="shared" si="15"/>
        <v>1187.023351</v>
      </c>
      <c r="H47" s="311">
        <f t="shared" si="15"/>
        <v>2595.930381</v>
      </c>
      <c r="I47" s="232">
        <f t="shared" si="15"/>
        <v>3830.622617</v>
      </c>
    </row>
    <row r="48" ht="15.0" customHeight="1">
      <c r="A48" s="161"/>
      <c r="B48" s="510" t="s">
        <v>572</v>
      </c>
      <c r="C48" s="511">
        <v>24.0</v>
      </c>
      <c r="D48" s="311">
        <f t="shared" si="6"/>
        <v>1200</v>
      </c>
      <c r="E48" s="311">
        <f t="shared" ref="E48:I48" si="16">$C48*(E26-D26)</f>
        <v>1633.160235</v>
      </c>
      <c r="F48" s="311">
        <f t="shared" si="16"/>
        <v>2039.10555</v>
      </c>
      <c r="G48" s="311">
        <f t="shared" si="16"/>
        <v>1473.546229</v>
      </c>
      <c r="H48" s="311">
        <f t="shared" si="16"/>
        <v>3222.534266</v>
      </c>
      <c r="I48" s="232">
        <f t="shared" si="16"/>
        <v>4755.255662</v>
      </c>
      <c r="K48" s="512" t="s">
        <v>582</v>
      </c>
    </row>
    <row r="49" ht="15.0" customHeight="1">
      <c r="C49" s="53" t="s">
        <v>583</v>
      </c>
      <c r="D49" s="513">
        <f t="shared" ref="D49:I49" si="17">SUM(D31:D48) * $K$49</f>
        <v>83040.37</v>
      </c>
      <c r="E49" s="514">
        <f t="shared" si="17"/>
        <v>8292.199394</v>
      </c>
      <c r="F49" s="514">
        <f t="shared" si="17"/>
        <v>15013.68626</v>
      </c>
      <c r="G49" s="514">
        <f t="shared" si="17"/>
        <v>7646.578752</v>
      </c>
      <c r="H49" s="514">
        <f t="shared" si="17"/>
        <v>13307.3889</v>
      </c>
      <c r="I49" s="515">
        <f t="shared" si="17"/>
        <v>15393.66159</v>
      </c>
      <c r="K49" s="516">
        <v>1.0</v>
      </c>
    </row>
    <row r="52" ht="15.0" customHeight="1">
      <c r="B52" s="237" t="s">
        <v>584</v>
      </c>
      <c r="C52" s="364"/>
      <c r="D52" s="364"/>
      <c r="E52" s="364"/>
      <c r="F52" s="364"/>
      <c r="G52" s="364"/>
      <c r="H52" s="364"/>
      <c r="I52" s="364"/>
    </row>
    <row r="53" ht="15.0" customHeight="1">
      <c r="B53" s="326" t="s">
        <v>546</v>
      </c>
      <c r="C53" s="475" t="s">
        <v>585</v>
      </c>
      <c r="D53" s="475" t="s">
        <v>586</v>
      </c>
      <c r="E53" s="475" t="s">
        <v>587</v>
      </c>
      <c r="F53" s="475" t="s">
        <v>588</v>
      </c>
      <c r="G53" s="475" t="s">
        <v>589</v>
      </c>
      <c r="H53" s="475" t="s">
        <v>590</v>
      </c>
      <c r="I53" s="476" t="s">
        <v>591</v>
      </c>
    </row>
    <row r="54" ht="15.0" customHeight="1">
      <c r="B54" s="225" t="s">
        <v>554</v>
      </c>
      <c r="C54" s="296">
        <f t="shared" ref="C54:C61" si="19">C6</f>
        <v>10</v>
      </c>
      <c r="D54" s="296"/>
      <c r="E54" s="311">
        <f t="shared" ref="E54:E71" si="20">$D31/C54</f>
        <v>1750</v>
      </c>
      <c r="F54" s="311">
        <f t="shared" ref="F54:I54" si="18">SUM($D31:E31)/$C54</f>
        <v>1750</v>
      </c>
      <c r="G54" s="311">
        <f t="shared" si="18"/>
        <v>1750</v>
      </c>
      <c r="H54" s="311">
        <f t="shared" si="18"/>
        <v>1750</v>
      </c>
      <c r="I54" s="232">
        <f t="shared" si="18"/>
        <v>1750</v>
      </c>
    </row>
    <row r="55" ht="15.0" customHeight="1">
      <c r="B55" s="216" t="s">
        <v>555</v>
      </c>
      <c r="C55" s="497">
        <f t="shared" si="19"/>
        <v>7</v>
      </c>
      <c r="D55" s="497"/>
      <c r="E55" s="311">
        <f t="shared" si="20"/>
        <v>1285.714286</v>
      </c>
      <c r="F55" s="311">
        <f t="shared" ref="F55:I55" si="21">SUM($D32:E32)/$C55</f>
        <v>1285.714286</v>
      </c>
      <c r="G55" s="311">
        <f t="shared" si="21"/>
        <v>1285.714286</v>
      </c>
      <c r="H55" s="311">
        <f t="shared" si="21"/>
        <v>1285.714286</v>
      </c>
      <c r="I55" s="232">
        <f t="shared" si="21"/>
        <v>1285.714286</v>
      </c>
    </row>
    <row r="56" ht="15.0" customHeight="1">
      <c r="B56" s="216" t="s">
        <v>556</v>
      </c>
      <c r="C56" s="497">
        <f t="shared" si="19"/>
        <v>10</v>
      </c>
      <c r="D56" s="497"/>
      <c r="E56" s="311">
        <f t="shared" si="20"/>
        <v>56.181</v>
      </c>
      <c r="F56" s="311">
        <f t="shared" ref="F56:I56" si="22">SUM($D33:E33)/$C56</f>
        <v>154.4339476</v>
      </c>
      <c r="G56" s="311">
        <f t="shared" si="22"/>
        <v>225.1493729</v>
      </c>
      <c r="H56" s="311">
        <f t="shared" si="22"/>
        <v>276.2514103</v>
      </c>
      <c r="I56" s="232">
        <f t="shared" si="22"/>
        <v>388.0077052</v>
      </c>
    </row>
    <row r="57" ht="15.0" customHeight="1">
      <c r="B57" s="216" t="s">
        <v>557</v>
      </c>
      <c r="C57" s="497">
        <f t="shared" si="19"/>
        <v>10</v>
      </c>
      <c r="D57" s="497"/>
      <c r="E57" s="311">
        <f t="shared" si="20"/>
        <v>2500</v>
      </c>
      <c r="F57" s="311">
        <f t="shared" ref="F57:I57" si="23">SUM($D34:E34)/$C57</f>
        <v>2500</v>
      </c>
      <c r="G57" s="311">
        <f t="shared" si="23"/>
        <v>2500</v>
      </c>
      <c r="H57" s="311">
        <f t="shared" si="23"/>
        <v>2500</v>
      </c>
      <c r="I57" s="232">
        <f t="shared" si="23"/>
        <v>2500</v>
      </c>
    </row>
    <row r="58" ht="15.0" customHeight="1">
      <c r="B58" s="216" t="s">
        <v>558</v>
      </c>
      <c r="C58" s="305">
        <f t="shared" si="19"/>
        <v>7</v>
      </c>
      <c r="D58" s="305"/>
      <c r="E58" s="311">
        <f t="shared" si="20"/>
        <v>1213.571429</v>
      </c>
      <c r="F58" s="311">
        <f t="shared" ref="F58:I58" si="24">SUM($D35:E35)/$C58</f>
        <v>1213.571429</v>
      </c>
      <c r="G58" s="311">
        <f t="shared" si="24"/>
        <v>1213.571429</v>
      </c>
      <c r="H58" s="311">
        <f t="shared" si="24"/>
        <v>1213.571429</v>
      </c>
      <c r="I58" s="232">
        <f t="shared" si="24"/>
        <v>1213.571429</v>
      </c>
    </row>
    <row r="59" ht="15.0" customHeight="1">
      <c r="B59" s="216" t="s">
        <v>559</v>
      </c>
      <c r="C59" s="305">
        <f t="shared" si="19"/>
        <v>6</v>
      </c>
      <c r="D59" s="305"/>
      <c r="E59" s="311">
        <f t="shared" si="20"/>
        <v>41.66666667</v>
      </c>
      <c r="F59" s="311">
        <f t="shared" ref="F59:I59" si="25">SUM($D36:E36)/$C59</f>
        <v>98.37361927</v>
      </c>
      <c r="G59" s="311">
        <f t="shared" si="25"/>
        <v>169.1758953</v>
      </c>
      <c r="H59" s="311">
        <f t="shared" si="25"/>
        <v>220.3406949</v>
      </c>
      <c r="I59" s="232">
        <f t="shared" si="25"/>
        <v>332.2342458</v>
      </c>
    </row>
    <row r="60" ht="15.0" customHeight="1">
      <c r="B60" s="216" t="s">
        <v>560</v>
      </c>
      <c r="C60" s="497">
        <f t="shared" si="19"/>
        <v>10</v>
      </c>
      <c r="D60" s="497"/>
      <c r="E60" s="311">
        <f t="shared" si="20"/>
        <v>139.794</v>
      </c>
      <c r="F60" s="311">
        <f t="shared" ref="F60:I60" si="26">SUM($D37:E37)/$C60</f>
        <v>139.794</v>
      </c>
      <c r="G60" s="311">
        <f t="shared" si="26"/>
        <v>139.794</v>
      </c>
      <c r="H60" s="311">
        <f t="shared" si="26"/>
        <v>139.794</v>
      </c>
      <c r="I60" s="232">
        <f t="shared" si="26"/>
        <v>139.794</v>
      </c>
    </row>
    <row r="61" ht="15.0" customHeight="1">
      <c r="B61" s="444" t="s">
        <v>561</v>
      </c>
      <c r="C61" s="497">
        <f t="shared" si="19"/>
        <v>15</v>
      </c>
      <c r="D61" s="517"/>
      <c r="E61" s="311">
        <f t="shared" si="20"/>
        <v>153.2666667</v>
      </c>
      <c r="F61" s="311">
        <f t="shared" ref="F61:I61" si="27">SUM($D38:E38)/$C61</f>
        <v>153.2666667</v>
      </c>
      <c r="G61" s="311">
        <f t="shared" si="27"/>
        <v>153.2666667</v>
      </c>
      <c r="H61" s="311">
        <f t="shared" si="27"/>
        <v>153.2666667</v>
      </c>
      <c r="I61" s="232">
        <f t="shared" si="27"/>
        <v>153.2666667</v>
      </c>
    </row>
    <row r="62" ht="15.0" customHeight="1">
      <c r="B62" s="216" t="s">
        <v>563</v>
      </c>
      <c r="C62" s="305">
        <f t="shared" ref="C62:C71" si="29">C17</f>
        <v>5</v>
      </c>
      <c r="D62" s="305"/>
      <c r="E62" s="311">
        <f t="shared" si="20"/>
        <v>400</v>
      </c>
      <c r="F62" s="311">
        <f t="shared" ref="F62:I62" si="28">SUM($D39:E39)/$C62</f>
        <v>400</v>
      </c>
      <c r="G62" s="311">
        <f t="shared" si="28"/>
        <v>800</v>
      </c>
      <c r="H62" s="311">
        <f t="shared" si="28"/>
        <v>800</v>
      </c>
      <c r="I62" s="232">
        <f t="shared" si="28"/>
        <v>1200</v>
      </c>
    </row>
    <row r="63" ht="15.0" customHeight="1">
      <c r="B63" s="216" t="s">
        <v>564</v>
      </c>
      <c r="C63" s="497">
        <f t="shared" si="29"/>
        <v>5</v>
      </c>
      <c r="D63" s="497"/>
      <c r="E63" s="311">
        <f t="shared" si="20"/>
        <v>140</v>
      </c>
      <c r="F63" s="311">
        <f t="shared" ref="F63:I63" si="30">SUM($D40:E40)/$C63</f>
        <v>140</v>
      </c>
      <c r="G63" s="311">
        <f t="shared" si="30"/>
        <v>280</v>
      </c>
      <c r="H63" s="311">
        <f t="shared" si="30"/>
        <v>280</v>
      </c>
      <c r="I63" s="232">
        <f t="shared" si="30"/>
        <v>420</v>
      </c>
    </row>
    <row r="64" ht="15.0" customHeight="1">
      <c r="B64" s="216" t="s">
        <v>580</v>
      </c>
      <c r="C64" s="497">
        <f t="shared" si="29"/>
        <v>3</v>
      </c>
      <c r="D64" s="497"/>
      <c r="E64" s="311">
        <f t="shared" si="20"/>
        <v>1000</v>
      </c>
      <c r="F64" s="311">
        <f t="shared" ref="F64:I64" si="31">SUM($D41:E41)/$C64</f>
        <v>2000</v>
      </c>
      <c r="G64" s="311">
        <f t="shared" si="31"/>
        <v>4500</v>
      </c>
      <c r="H64" s="311">
        <f t="shared" si="31"/>
        <v>5500</v>
      </c>
      <c r="I64" s="232">
        <f t="shared" si="31"/>
        <v>6500</v>
      </c>
    </row>
    <row r="65" ht="15.0" customHeight="1">
      <c r="B65" s="216" t="s">
        <v>566</v>
      </c>
      <c r="C65" s="497">
        <f t="shared" si="29"/>
        <v>3</v>
      </c>
      <c r="D65" s="497"/>
      <c r="E65" s="311">
        <f t="shared" si="20"/>
        <v>2333.333333</v>
      </c>
      <c r="F65" s="311">
        <f t="shared" ref="F65:I65" si="32">SUM($D42:E42)/$C65</f>
        <v>2666.666667</v>
      </c>
      <c r="G65" s="311">
        <f t="shared" si="32"/>
        <v>2666.666667</v>
      </c>
      <c r="H65" s="311">
        <f t="shared" si="32"/>
        <v>3000</v>
      </c>
      <c r="I65" s="232">
        <f t="shared" si="32"/>
        <v>3000</v>
      </c>
    </row>
    <row r="66" ht="15.0" customHeight="1">
      <c r="B66" s="216" t="s">
        <v>567</v>
      </c>
      <c r="C66" s="305">
        <f t="shared" si="29"/>
        <v>5</v>
      </c>
      <c r="D66" s="305"/>
      <c r="E66" s="311">
        <f t="shared" si="20"/>
        <v>168</v>
      </c>
      <c r="F66" s="311">
        <f t="shared" ref="F66:I66" si="33">SUM($D43:E43)/$C66</f>
        <v>268.8</v>
      </c>
      <c r="G66" s="311">
        <f t="shared" si="33"/>
        <v>268.8</v>
      </c>
      <c r="H66" s="311">
        <f t="shared" si="33"/>
        <v>302.4</v>
      </c>
      <c r="I66" s="232">
        <f t="shared" si="33"/>
        <v>302.4</v>
      </c>
    </row>
    <row r="67" ht="15.0" customHeight="1">
      <c r="B67" s="216" t="s">
        <v>568</v>
      </c>
      <c r="C67" s="305">
        <f t="shared" si="29"/>
        <v>5</v>
      </c>
      <c r="D67" s="305"/>
      <c r="E67" s="311">
        <f t="shared" si="20"/>
        <v>69.8</v>
      </c>
      <c r="F67" s="311">
        <f t="shared" ref="F67:I67" si="34">SUM($D44:E44)/$C67</f>
        <v>69.8</v>
      </c>
      <c r="G67" s="311">
        <f t="shared" si="34"/>
        <v>69.8</v>
      </c>
      <c r="H67" s="311">
        <f t="shared" si="34"/>
        <v>69.8</v>
      </c>
      <c r="I67" s="232">
        <f t="shared" si="34"/>
        <v>69.8</v>
      </c>
    </row>
    <row r="68" ht="15.0" customHeight="1">
      <c r="B68" s="216" t="s">
        <v>569</v>
      </c>
      <c r="C68" s="497">
        <f t="shared" si="29"/>
        <v>5</v>
      </c>
      <c r="D68" s="497"/>
      <c r="E68" s="311">
        <f t="shared" si="20"/>
        <v>359.976</v>
      </c>
      <c r="F68" s="311">
        <f t="shared" ref="F68:I68" si="35">SUM($D45:E45)/$C68</f>
        <v>359.976</v>
      </c>
      <c r="G68" s="311">
        <f t="shared" si="35"/>
        <v>359.976</v>
      </c>
      <c r="H68" s="311">
        <f t="shared" si="35"/>
        <v>359.976</v>
      </c>
      <c r="I68" s="232">
        <f t="shared" si="35"/>
        <v>359.976</v>
      </c>
    </row>
    <row r="69" ht="15.0" customHeight="1">
      <c r="B69" s="216" t="s">
        <v>592</v>
      </c>
      <c r="C69" s="497">
        <f t="shared" si="29"/>
        <v>5</v>
      </c>
      <c r="D69" s="497"/>
      <c r="E69" s="311">
        <f t="shared" si="20"/>
        <v>39.548</v>
      </c>
      <c r="F69" s="311">
        <f t="shared" ref="F69:I69" si="36">SUM($D46:E46)/$C69</f>
        <v>39.548</v>
      </c>
      <c r="G69" s="311">
        <f t="shared" si="36"/>
        <v>39.548</v>
      </c>
      <c r="H69" s="311">
        <f t="shared" si="36"/>
        <v>39.548</v>
      </c>
      <c r="I69" s="232">
        <f t="shared" si="36"/>
        <v>39.548</v>
      </c>
    </row>
    <row r="70" ht="15.0" customHeight="1">
      <c r="B70" s="216" t="s">
        <v>571</v>
      </c>
      <c r="C70" s="497">
        <f t="shared" si="29"/>
        <v>5</v>
      </c>
      <c r="D70" s="497"/>
      <c r="E70" s="311">
        <f t="shared" si="20"/>
        <v>290</v>
      </c>
      <c r="F70" s="311">
        <f t="shared" ref="F70:I70" si="37">SUM($D47:E47)/$C70</f>
        <v>456.4535934</v>
      </c>
      <c r="G70" s="311">
        <f t="shared" si="37"/>
        <v>784.9761543</v>
      </c>
      <c r="H70" s="311">
        <f t="shared" si="37"/>
        <v>1022.380824</v>
      </c>
      <c r="I70" s="232">
        <f t="shared" si="37"/>
        <v>1541.566901</v>
      </c>
    </row>
    <row r="71" ht="15.0" customHeight="1">
      <c r="B71" s="218" t="s">
        <v>572</v>
      </c>
      <c r="C71" s="502">
        <f t="shared" si="29"/>
        <v>5</v>
      </c>
      <c r="D71" s="502"/>
      <c r="E71" s="511">
        <f t="shared" si="20"/>
        <v>240</v>
      </c>
      <c r="F71" s="511">
        <f t="shared" ref="F71:I71" si="38">SUM($D48:E48)/$C71</f>
        <v>566.632047</v>
      </c>
      <c r="G71" s="511">
        <f t="shared" si="38"/>
        <v>974.453157</v>
      </c>
      <c r="H71" s="511">
        <f t="shared" si="38"/>
        <v>1269.162403</v>
      </c>
      <c r="I71" s="234">
        <f t="shared" si="38"/>
        <v>1913.669256</v>
      </c>
    </row>
    <row r="72" ht="15.0" customHeight="1">
      <c r="B72" s="364"/>
      <c r="C72" s="342" t="s">
        <v>593</v>
      </c>
      <c r="D72" s="518">
        <f t="shared" ref="D72:I72" si="39">SUM(D54:D71)</f>
        <v>0</v>
      </c>
      <c r="E72" s="519">
        <f t="shared" si="39"/>
        <v>12180.85138</v>
      </c>
      <c r="F72" s="519">
        <f t="shared" si="39"/>
        <v>14263.03025</v>
      </c>
      <c r="G72" s="519">
        <f t="shared" si="39"/>
        <v>18180.89163</v>
      </c>
      <c r="H72" s="519">
        <f t="shared" si="39"/>
        <v>20182.20571</v>
      </c>
      <c r="I72" s="520">
        <f t="shared" si="39"/>
        <v>23109.54849</v>
      </c>
    </row>
  </sheetData>
  <mergeCells count="1">
    <mergeCell ref="B2:C2"/>
  </mergeCells>
  <hyperlinks>
    <hyperlink r:id="rId1" ref="B31"/>
    <hyperlink r:id="rId2" ref="B32"/>
    <hyperlink r:id="rId3" ref="B33"/>
    <hyperlink r:id="rId4" ref="B34"/>
    <hyperlink r:id="rId5" ref="B35"/>
    <hyperlink r:id="rId6" ref="B36"/>
    <hyperlink r:id="rId7" ref="B37"/>
    <hyperlink r:id="rId8" ref="B38"/>
    <hyperlink r:id="rId9" ref="B43"/>
    <hyperlink r:id="rId10" ref="B44"/>
    <hyperlink r:id="rId11" ref="B45"/>
    <hyperlink r:id="rId12" ref="B46"/>
    <hyperlink r:id="rId13" ref="B47"/>
    <hyperlink r:id="rId14" ref="B48"/>
  </hyperlinks>
  <printOptions/>
  <pageMargins bottom="0.75" footer="0.0" header="0.0" left="0.7" right="0.7" top="0.75"/>
  <pageSetup orientation="landscape"/>
  <drawing r:id="rId1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55.38"/>
    <col customWidth="1" min="3" max="8" width="15.63"/>
    <col customWidth="1" min="10" max="10" width="33.13"/>
    <col customWidth="1" min="11" max="11" width="13.38"/>
  </cols>
  <sheetData>
    <row r="1" ht="15.0" customHeight="1">
      <c r="A1" s="257"/>
      <c r="B1" s="257"/>
      <c r="C1" s="257"/>
      <c r="D1" s="257"/>
      <c r="E1" s="257"/>
      <c r="F1" s="257"/>
      <c r="G1" s="257"/>
      <c r="H1" s="257"/>
      <c r="I1" s="257"/>
      <c r="J1" s="257"/>
      <c r="K1" s="257"/>
      <c r="Z1" s="257"/>
    </row>
    <row r="2" ht="15.0" customHeight="1">
      <c r="A2" s="257"/>
      <c r="B2" s="521" t="s">
        <v>594</v>
      </c>
      <c r="C2" s="521" t="s">
        <v>595</v>
      </c>
      <c r="D2" s="521" t="s">
        <v>596</v>
      </c>
      <c r="E2" s="521" t="s">
        <v>597</v>
      </c>
      <c r="F2" s="521" t="s">
        <v>290</v>
      </c>
      <c r="G2" s="521" t="s">
        <v>291</v>
      </c>
      <c r="H2" s="521" t="s">
        <v>598</v>
      </c>
      <c r="I2" s="257"/>
      <c r="J2" s="522" t="s">
        <v>599</v>
      </c>
      <c r="K2" s="523"/>
    </row>
    <row r="3">
      <c r="A3" s="257"/>
      <c r="B3" s="56" t="s">
        <v>600</v>
      </c>
      <c r="C3" s="57"/>
      <c r="D3" s="57"/>
      <c r="E3" s="57"/>
      <c r="F3" s="57"/>
      <c r="G3" s="57"/>
      <c r="H3" s="58"/>
      <c r="I3" s="257"/>
      <c r="J3" s="524" t="s">
        <v>601</v>
      </c>
      <c r="K3" s="525">
        <v>600.0</v>
      </c>
    </row>
    <row r="4">
      <c r="A4" s="257"/>
      <c r="B4" s="526" t="s">
        <v>602</v>
      </c>
      <c r="C4" s="527">
        <v>20000.0</v>
      </c>
      <c r="D4" s="528" t="s">
        <v>603</v>
      </c>
      <c r="E4" s="528" t="s">
        <v>603</v>
      </c>
      <c r="F4" s="528" t="s">
        <v>603</v>
      </c>
      <c r="G4" s="528" t="s">
        <v>603</v>
      </c>
      <c r="H4" s="529" t="s">
        <v>603</v>
      </c>
      <c r="I4" s="257"/>
      <c r="J4" s="530" t="s">
        <v>604</v>
      </c>
      <c r="K4" s="531">
        <v>22.0</v>
      </c>
    </row>
    <row r="5">
      <c r="A5" s="257"/>
      <c r="B5" s="532" t="s">
        <v>605</v>
      </c>
      <c r="C5" s="533" t="s">
        <v>603</v>
      </c>
      <c r="D5" s="534">
        <f>(K3*1)*12</f>
        <v>7200</v>
      </c>
      <c r="E5" s="534">
        <f>((K3*1.05)*1)*12</f>
        <v>7560</v>
      </c>
      <c r="F5" s="534">
        <f>((K3*1.05^2)*1)*12</f>
        <v>7938</v>
      </c>
      <c r="G5" s="534">
        <f>((K3*1.05^3)*2)*12</f>
        <v>16669.8</v>
      </c>
      <c r="H5" s="535">
        <f>((K3*1.05^4)*2)*12</f>
        <v>17503.29</v>
      </c>
      <c r="I5" s="257"/>
      <c r="J5" s="530"/>
      <c r="K5" s="531"/>
    </row>
    <row r="6">
      <c r="A6" s="257"/>
      <c r="B6" s="532" t="s">
        <v>606</v>
      </c>
      <c r="C6" s="533" t="s">
        <v>603</v>
      </c>
      <c r="D6" s="534">
        <f t="shared" ref="D6:H6" si="1">D5*0.05</f>
        <v>360</v>
      </c>
      <c r="E6" s="534">
        <f t="shared" si="1"/>
        <v>378</v>
      </c>
      <c r="F6" s="534">
        <f t="shared" si="1"/>
        <v>396.9</v>
      </c>
      <c r="G6" s="534">
        <f t="shared" si="1"/>
        <v>833.49</v>
      </c>
      <c r="H6" s="535">
        <f t="shared" si="1"/>
        <v>875.1645</v>
      </c>
      <c r="I6" s="257"/>
      <c r="J6" s="530" t="s">
        <v>607</v>
      </c>
      <c r="K6" s="531">
        <v>29.0</v>
      </c>
    </row>
    <row r="7">
      <c r="A7" s="257"/>
      <c r="B7" s="536" t="s">
        <v>608</v>
      </c>
      <c r="C7" s="533" t="s">
        <v>603</v>
      </c>
      <c r="D7" s="534">
        <f>(K$4*'OM G&amp;A Expenses'!D19)*12</f>
        <v>3168</v>
      </c>
      <c r="E7" s="534">
        <f>((K4*1.05)*'OM G&amp;A Expenses'!D40)*12</f>
        <v>3326.4</v>
      </c>
      <c r="F7" s="534">
        <f>((K4*1.05^2)*'OM G&amp;A Expenses'!D63)*12</f>
        <v>4365.9</v>
      </c>
      <c r="G7" s="534">
        <f>((K4*1.05^3)*'OM G&amp;A Expenses'!D87)*12</f>
        <v>5195.421</v>
      </c>
      <c r="H7" s="535">
        <f>((K4*1.05^4)*'OM G&amp;A Expenses'!D114)*12</f>
        <v>6738.76665</v>
      </c>
      <c r="I7" s="257"/>
      <c r="J7" s="530" t="s">
        <v>609</v>
      </c>
      <c r="K7" s="531">
        <v>1500.0</v>
      </c>
    </row>
    <row r="8">
      <c r="A8" s="257"/>
      <c r="B8" s="537" t="s">
        <v>610</v>
      </c>
      <c r="C8" s="533">
        <f>K6*2</f>
        <v>58</v>
      </c>
      <c r="D8" s="534">
        <f>K11*12</f>
        <v>359.4</v>
      </c>
      <c r="E8" s="534">
        <f t="shared" ref="E8:H8" si="2">D8*1.05</f>
        <v>377.37</v>
      </c>
      <c r="F8" s="534">
        <f t="shared" si="2"/>
        <v>396.2385</v>
      </c>
      <c r="G8" s="534">
        <f t="shared" si="2"/>
        <v>416.050425</v>
      </c>
      <c r="H8" s="535">
        <f t="shared" si="2"/>
        <v>436.8529463</v>
      </c>
      <c r="I8" s="257"/>
      <c r="J8" s="530" t="s">
        <v>611</v>
      </c>
      <c r="K8" s="531">
        <v>1000.0</v>
      </c>
    </row>
    <row r="9">
      <c r="A9" s="257"/>
      <c r="B9" s="532"/>
      <c r="C9" s="533"/>
      <c r="D9" s="534"/>
      <c r="E9" s="534"/>
      <c r="F9" s="534"/>
      <c r="G9" s="534"/>
      <c r="H9" s="535"/>
      <c r="I9" s="257"/>
      <c r="J9" s="538" t="s">
        <v>612</v>
      </c>
      <c r="K9" s="539">
        <v>168.0</v>
      </c>
    </row>
    <row r="10">
      <c r="A10" s="257"/>
      <c r="B10" s="540" t="s">
        <v>613</v>
      </c>
      <c r="C10" s="541" t="s">
        <v>603</v>
      </c>
      <c r="D10" s="542">
        <v>20000.0</v>
      </c>
      <c r="E10" s="542">
        <v>20000.0</v>
      </c>
      <c r="F10" s="542">
        <v>20000.0</v>
      </c>
      <c r="G10" s="542">
        <v>20000.0</v>
      </c>
      <c r="H10" s="543">
        <v>20000.0</v>
      </c>
      <c r="I10" s="257"/>
      <c r="J10" s="532" t="s">
        <v>614</v>
      </c>
      <c r="K10" s="535">
        <v>149.99</v>
      </c>
    </row>
    <row r="11">
      <c r="A11" s="257"/>
      <c r="B11" s="530" t="s">
        <v>615</v>
      </c>
      <c r="C11" s="541" t="s">
        <v>603</v>
      </c>
      <c r="D11" s="544">
        <v>1000.0</v>
      </c>
      <c r="E11" s="544">
        <v>1000.0</v>
      </c>
      <c r="F11" s="544">
        <v>1000.0</v>
      </c>
      <c r="G11" s="544">
        <v>1000.0</v>
      </c>
      <c r="H11" s="531">
        <v>1000.0</v>
      </c>
      <c r="J11" s="532" t="s">
        <v>616</v>
      </c>
      <c r="K11" s="535">
        <f>29.95</f>
        <v>29.95</v>
      </c>
    </row>
    <row r="12">
      <c r="A12" s="257"/>
      <c r="B12" s="538" t="s">
        <v>617</v>
      </c>
      <c r="C12" s="545" t="s">
        <v>603</v>
      </c>
      <c r="D12" s="546">
        <v>400.0</v>
      </c>
      <c r="E12" s="546">
        <v>400.0</v>
      </c>
      <c r="F12" s="546">
        <v>400.0</v>
      </c>
      <c r="G12" s="546">
        <v>400.0</v>
      </c>
      <c r="H12" s="539">
        <v>400.0</v>
      </c>
      <c r="J12" s="532" t="s">
        <v>568</v>
      </c>
      <c r="K12" s="535">
        <f>349</f>
        <v>349</v>
      </c>
    </row>
    <row r="13">
      <c r="A13" s="257"/>
      <c r="B13" s="547" t="s">
        <v>618</v>
      </c>
      <c r="C13" s="548">
        <f t="shared" ref="C13:H13" si="3">SUM(C4:C12)</f>
        <v>20058</v>
      </c>
      <c r="D13" s="548">
        <f t="shared" si="3"/>
        <v>32487.4</v>
      </c>
      <c r="E13" s="548">
        <f t="shared" si="3"/>
        <v>33041.77</v>
      </c>
      <c r="F13" s="548">
        <f t="shared" si="3"/>
        <v>34497.0385</v>
      </c>
      <c r="G13" s="548">
        <f t="shared" si="3"/>
        <v>44514.76143</v>
      </c>
      <c r="H13" s="549">
        <f t="shared" si="3"/>
        <v>46954.0741</v>
      </c>
      <c r="J13" s="532" t="s">
        <v>393</v>
      </c>
      <c r="K13" s="535">
        <v>25.0</v>
      </c>
    </row>
    <row r="14">
      <c r="A14" s="257"/>
      <c r="B14" s="56" t="s">
        <v>619</v>
      </c>
      <c r="C14" s="57"/>
      <c r="D14" s="57"/>
      <c r="E14" s="57"/>
      <c r="F14" s="57"/>
      <c r="G14" s="57"/>
      <c r="H14" s="58"/>
      <c r="J14" s="550" t="s">
        <v>620</v>
      </c>
      <c r="K14" s="551">
        <v>50.0</v>
      </c>
    </row>
    <row r="15">
      <c r="A15" s="257"/>
      <c r="B15" s="552" t="s">
        <v>621</v>
      </c>
      <c r="C15" s="553" t="s">
        <v>603</v>
      </c>
      <c r="D15" s="553">
        <f>K7*SUM('OM G&amp;A Expenses'!C19,'OM G&amp;A Expenses'!C21)</f>
        <v>7500</v>
      </c>
      <c r="E15" s="554">
        <f>K7*('OM G&amp;A Expenses'!C42-'OM G&amp;A Expenses'!C21)</f>
        <v>1500</v>
      </c>
      <c r="F15" s="553" t="s">
        <v>603</v>
      </c>
      <c r="G15" s="553">
        <f>(K7*('OM G&amp;A Expenses'!C89-'OM G&amp;A Expenses'!C65))+D15</f>
        <v>9000</v>
      </c>
      <c r="H15" s="555">
        <f>(K7*('OM G&amp;A Expenses'!C116-'OM G&amp;A Expenses'!C89))+E15</f>
        <v>3000</v>
      </c>
      <c r="J15" s="257"/>
      <c r="K15" s="556"/>
    </row>
    <row r="16">
      <c r="A16" s="257"/>
      <c r="B16" s="530" t="s">
        <v>566</v>
      </c>
      <c r="C16" s="557" t="s">
        <v>603</v>
      </c>
      <c r="D16" s="557">
        <f>K8*('OM G&amp;A Expenses'!C23)</f>
        <v>7000</v>
      </c>
      <c r="E16" s="557" t="s">
        <v>603</v>
      </c>
      <c r="F16" s="557" t="s">
        <v>603</v>
      </c>
      <c r="G16" s="557">
        <f>(K8*('OM G&amp;A Expenses'!C91-'OM G&amp;A Expenses'!C67))+D16</f>
        <v>8000</v>
      </c>
      <c r="H16" s="531">
        <f>(K8*('OM G&amp;A Expenses'!C118-'OM G&amp;A Expenses'!C91))</f>
        <v>2000</v>
      </c>
      <c r="J16" s="161"/>
    </row>
    <row r="17">
      <c r="A17" s="257"/>
      <c r="B17" s="530" t="s">
        <v>622</v>
      </c>
      <c r="C17" s="544">
        <v>750.0</v>
      </c>
      <c r="D17" s="557" t="s">
        <v>603</v>
      </c>
      <c r="E17" s="557" t="s">
        <v>603</v>
      </c>
      <c r="F17" s="544">
        <v>750.0</v>
      </c>
      <c r="G17" s="557" t="s">
        <v>603</v>
      </c>
      <c r="H17" s="558" t="s">
        <v>603</v>
      </c>
    </row>
    <row r="18">
      <c r="A18" s="257"/>
      <c r="B18" s="530" t="s">
        <v>623</v>
      </c>
      <c r="C18" s="544">
        <v>1500.0</v>
      </c>
      <c r="D18" s="557" t="s">
        <v>603</v>
      </c>
      <c r="E18" s="557" t="s">
        <v>603</v>
      </c>
      <c r="F18" s="557" t="s">
        <v>603</v>
      </c>
      <c r="G18" s="557" t="s">
        <v>603</v>
      </c>
      <c r="H18" s="558" t="s">
        <v>603</v>
      </c>
    </row>
    <row r="19">
      <c r="A19" s="257"/>
      <c r="B19" s="530" t="s">
        <v>624</v>
      </c>
      <c r="C19" s="557">
        <v>350.0</v>
      </c>
      <c r="D19" s="557" t="s">
        <v>603</v>
      </c>
      <c r="E19" s="557" t="s">
        <v>603</v>
      </c>
      <c r="F19" s="557" t="s">
        <v>603</v>
      </c>
      <c r="G19" s="557" t="s">
        <v>603</v>
      </c>
      <c r="H19" s="558" t="s">
        <v>603</v>
      </c>
    </row>
    <row r="20">
      <c r="A20" s="257"/>
      <c r="B20" s="559" t="s">
        <v>625</v>
      </c>
      <c r="C20" s="546">
        <f>K12</f>
        <v>349</v>
      </c>
      <c r="D20" s="545" t="s">
        <v>603</v>
      </c>
      <c r="E20" s="545" t="s">
        <v>603</v>
      </c>
      <c r="F20" s="545" t="s">
        <v>603</v>
      </c>
      <c r="G20" s="545" t="s">
        <v>603</v>
      </c>
      <c r="H20" s="560" t="s">
        <v>603</v>
      </c>
    </row>
    <row r="21">
      <c r="A21" s="257"/>
      <c r="B21" s="561" t="s">
        <v>612</v>
      </c>
      <c r="C21" s="557" t="s">
        <v>603</v>
      </c>
      <c r="D21" s="544">
        <f>K9*4</f>
        <v>672</v>
      </c>
      <c r="E21" s="544">
        <f>K9*2</f>
        <v>336</v>
      </c>
      <c r="F21" s="544">
        <f>K9*3</f>
        <v>504</v>
      </c>
      <c r="G21" s="557" t="s">
        <v>603</v>
      </c>
      <c r="H21" s="531">
        <f>K9*2</f>
        <v>336</v>
      </c>
    </row>
    <row r="22">
      <c r="A22" s="257"/>
      <c r="B22" s="559" t="s">
        <v>626</v>
      </c>
      <c r="C22" s="546">
        <f>149.99*12</f>
        <v>1799.88</v>
      </c>
      <c r="D22" s="546">
        <f t="shared" ref="D22:H22" si="4">47.99*12</f>
        <v>575.88</v>
      </c>
      <c r="E22" s="546">
        <f t="shared" si="4"/>
        <v>575.88</v>
      </c>
      <c r="F22" s="546">
        <f t="shared" si="4"/>
        <v>575.88</v>
      </c>
      <c r="G22" s="546">
        <f t="shared" si="4"/>
        <v>575.88</v>
      </c>
      <c r="H22" s="539">
        <f t="shared" si="4"/>
        <v>575.88</v>
      </c>
    </row>
    <row r="23">
      <c r="A23" s="257"/>
      <c r="B23" s="547" t="s">
        <v>627</v>
      </c>
      <c r="C23" s="548">
        <f t="shared" ref="C23:H23" si="5">SUM(C15:C22)</f>
        <v>4748.88</v>
      </c>
      <c r="D23" s="548">
        <f t="shared" si="5"/>
        <v>15747.88</v>
      </c>
      <c r="E23" s="548">
        <f t="shared" si="5"/>
        <v>2411.88</v>
      </c>
      <c r="F23" s="548">
        <f t="shared" si="5"/>
        <v>1829.88</v>
      </c>
      <c r="G23" s="548">
        <f t="shared" si="5"/>
        <v>17575.88</v>
      </c>
      <c r="H23" s="549">
        <f t="shared" si="5"/>
        <v>5911.88</v>
      </c>
    </row>
    <row r="24">
      <c r="A24" s="257"/>
      <c r="B24" s="56" t="s">
        <v>628</v>
      </c>
      <c r="C24" s="57"/>
      <c r="D24" s="57"/>
      <c r="E24" s="57"/>
      <c r="F24" s="57"/>
      <c r="G24" s="57"/>
      <c r="H24" s="58"/>
    </row>
    <row r="25">
      <c r="A25" s="257"/>
      <c r="B25" s="521" t="s">
        <v>629</v>
      </c>
      <c r="C25" s="521" t="s">
        <v>595</v>
      </c>
      <c r="D25" s="521" t="s">
        <v>596</v>
      </c>
      <c r="E25" s="521" t="s">
        <v>597</v>
      </c>
      <c r="F25" s="521" t="s">
        <v>290</v>
      </c>
      <c r="G25" s="521" t="s">
        <v>291</v>
      </c>
      <c r="H25" s="521" t="s">
        <v>598</v>
      </c>
    </row>
    <row r="26">
      <c r="A26" s="257"/>
      <c r="B26" s="532" t="s">
        <v>630</v>
      </c>
      <c r="C26" s="534">
        <f>K13</f>
        <v>25</v>
      </c>
      <c r="D26" s="562" t="s">
        <v>603</v>
      </c>
      <c r="E26" s="562" t="s">
        <v>603</v>
      </c>
      <c r="F26" s="562" t="s">
        <v>603</v>
      </c>
      <c r="G26" s="562" t="s">
        <v>603</v>
      </c>
      <c r="H26" s="563" t="s">
        <v>603</v>
      </c>
    </row>
    <row r="27">
      <c r="A27" s="257"/>
      <c r="B27" s="564" t="s">
        <v>631</v>
      </c>
      <c r="C27" s="565" t="s">
        <v>603</v>
      </c>
      <c r="D27" s="565">
        <f t="shared" ref="D27:H27" si="6">$K$13*12</f>
        <v>300</v>
      </c>
      <c r="E27" s="565">
        <f t="shared" si="6"/>
        <v>300</v>
      </c>
      <c r="F27" s="565">
        <f t="shared" si="6"/>
        <v>300</v>
      </c>
      <c r="G27" s="565">
        <f t="shared" si="6"/>
        <v>300</v>
      </c>
      <c r="H27" s="566">
        <f t="shared" si="6"/>
        <v>300</v>
      </c>
      <c r="J27" s="161"/>
    </row>
    <row r="28">
      <c r="A28" s="257"/>
      <c r="B28" s="521" t="s">
        <v>632</v>
      </c>
      <c r="C28" s="521" t="s">
        <v>595</v>
      </c>
      <c r="D28" s="521" t="s">
        <v>596</v>
      </c>
      <c r="E28" s="521" t="s">
        <v>597</v>
      </c>
      <c r="F28" s="521" t="s">
        <v>290</v>
      </c>
      <c r="G28" s="521" t="s">
        <v>291</v>
      </c>
      <c r="H28" s="521" t="s">
        <v>633</v>
      </c>
      <c r="J28" s="161"/>
    </row>
    <row r="29">
      <c r="A29" s="257"/>
      <c r="B29" s="536" t="s">
        <v>634</v>
      </c>
      <c r="C29" s="567">
        <f>$K$14</f>
        <v>50</v>
      </c>
      <c r="D29" s="567">
        <f t="shared" ref="D29:H29" si="7">$K$14*12</f>
        <v>600</v>
      </c>
      <c r="E29" s="567">
        <f t="shared" si="7"/>
        <v>600</v>
      </c>
      <c r="F29" s="567">
        <f t="shared" si="7"/>
        <v>600</v>
      </c>
      <c r="G29" s="567">
        <f t="shared" si="7"/>
        <v>600</v>
      </c>
      <c r="H29" s="568">
        <f t="shared" si="7"/>
        <v>600</v>
      </c>
    </row>
    <row r="30">
      <c r="A30" s="257"/>
      <c r="B30" s="564" t="s">
        <v>635</v>
      </c>
      <c r="C30" s="565" t="s">
        <v>603</v>
      </c>
      <c r="D30" s="565">
        <f>(27*4)*12</f>
        <v>1296</v>
      </c>
      <c r="E30" s="565">
        <f>(21*6)*12</f>
        <v>1512</v>
      </c>
      <c r="F30" s="565">
        <f>(23*9)*12</f>
        <v>2484</v>
      </c>
      <c r="G30" s="565">
        <f>(21*6)*12</f>
        <v>1512</v>
      </c>
      <c r="H30" s="566">
        <f>(22*8)*12</f>
        <v>2112</v>
      </c>
    </row>
    <row r="31">
      <c r="A31" s="257"/>
      <c r="B31" s="257"/>
      <c r="C31" s="569"/>
      <c r="D31" s="569"/>
      <c r="E31" s="569"/>
      <c r="F31" s="569"/>
      <c r="G31" s="569"/>
      <c r="H31" s="569"/>
    </row>
    <row r="32">
      <c r="B32" s="522" t="s">
        <v>636</v>
      </c>
      <c r="C32" s="570" t="s">
        <v>595</v>
      </c>
      <c r="D32" s="570" t="s">
        <v>596</v>
      </c>
      <c r="E32" s="570" t="s">
        <v>597</v>
      </c>
      <c r="F32" s="570" t="s">
        <v>290</v>
      </c>
      <c r="G32" s="570" t="s">
        <v>291</v>
      </c>
      <c r="H32" s="571" t="s">
        <v>598</v>
      </c>
    </row>
    <row r="33">
      <c r="B33" s="572"/>
      <c r="C33" s="573">
        <f t="shared" ref="C33:H33" si="8">SUM(C13,C23,C26,C27,C29,C30)</f>
        <v>24881.88</v>
      </c>
      <c r="D33" s="573">
        <f t="shared" si="8"/>
        <v>50431.28</v>
      </c>
      <c r="E33" s="573">
        <f t="shared" si="8"/>
        <v>37865.65</v>
      </c>
      <c r="F33" s="573">
        <f t="shared" si="8"/>
        <v>39710.9185</v>
      </c>
      <c r="G33" s="573">
        <f t="shared" si="8"/>
        <v>64502.64143</v>
      </c>
      <c r="H33" s="574">
        <f t="shared" si="8"/>
        <v>55877.9541</v>
      </c>
    </row>
    <row r="34">
      <c r="B34" s="575"/>
      <c r="C34" s="576"/>
      <c r="D34" s="576"/>
      <c r="E34" s="576"/>
      <c r="F34" s="576"/>
      <c r="G34" s="576"/>
      <c r="H34" s="576"/>
    </row>
  </sheetData>
  <hyperlinks>
    <hyperlink r:id="rId2" ref="B7"/>
    <hyperlink r:id="rId3" ref="B8"/>
    <hyperlink r:id="rId4" ref="B20"/>
    <hyperlink r:id="rId5" ref="B21"/>
    <hyperlink r:id="rId6" ref="B22"/>
    <hyperlink r:id="rId7" ref="B27"/>
    <hyperlink r:id="rId8" ref="B29"/>
    <hyperlink r:id="rId9" ref="B30"/>
  </hyperlinks>
  <printOptions/>
  <pageMargins bottom="0.75" footer="0.0" header="0.0" left="0.7" right="0.7" top="0.75"/>
  <pageSetup orientation="landscape"/>
  <drawing r:id="rId10"/>
  <legacy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6" width="31.63"/>
    <col customWidth="1" min="7" max="7" width="37.5"/>
    <col customWidth="1" min="8" max="8" width="42.88"/>
    <col customWidth="1" min="9" max="9" width="39.88"/>
    <col customWidth="1" min="10" max="10" width="40.13"/>
    <col customWidth="1" min="11" max="11" width="40.88"/>
    <col customWidth="1" min="12" max="13" width="24.13"/>
    <col customWidth="1" min="14" max="14" width="27.25"/>
    <col customWidth="1" min="15" max="15" width="32.25"/>
    <col customWidth="1" min="16" max="16" width="24.25"/>
  </cols>
  <sheetData>
    <row r="2">
      <c r="B2" s="446" t="s">
        <v>637</v>
      </c>
      <c r="C2" s="577"/>
      <c r="D2" s="577"/>
      <c r="E2" s="577"/>
      <c r="F2" s="577"/>
      <c r="G2" s="577"/>
      <c r="H2" s="577"/>
      <c r="I2" s="577"/>
      <c r="J2" s="577"/>
      <c r="K2" s="397"/>
    </row>
    <row r="3">
      <c r="B3" s="578" t="s">
        <v>638</v>
      </c>
      <c r="C3" s="579" t="s">
        <v>639</v>
      </c>
      <c r="D3" s="579" t="s">
        <v>640</v>
      </c>
      <c r="E3" s="579" t="s">
        <v>641</v>
      </c>
      <c r="F3" s="580" t="s">
        <v>642</v>
      </c>
      <c r="G3" s="581" t="s">
        <v>643</v>
      </c>
      <c r="H3" s="580" t="s">
        <v>644</v>
      </c>
      <c r="I3" s="581" t="s">
        <v>645</v>
      </c>
      <c r="J3" s="580" t="s">
        <v>646</v>
      </c>
      <c r="K3" s="582" t="s">
        <v>647</v>
      </c>
      <c r="N3" s="583"/>
      <c r="O3" s="583"/>
      <c r="P3" s="583"/>
    </row>
    <row r="4">
      <c r="B4" s="584" t="s">
        <v>648</v>
      </c>
      <c r="C4" s="585" t="s">
        <v>649</v>
      </c>
      <c r="D4" s="586">
        <v>4.0</v>
      </c>
      <c r="E4" s="587">
        <v>1.0</v>
      </c>
      <c r="F4" s="588">
        <v>1.47</v>
      </c>
      <c r="G4" s="588">
        <f t="shared" ref="G4:G14" si="1">E4*F4</f>
        <v>1.47</v>
      </c>
      <c r="H4" s="588">
        <v>0.85</v>
      </c>
      <c r="I4" s="588">
        <f t="shared" ref="I4:I14" si="2">E4*H4</f>
        <v>0.85</v>
      </c>
      <c r="J4" s="588">
        <v>0.85</v>
      </c>
      <c r="K4" s="589">
        <f t="shared" ref="K4:K10" si="3">J4*E4</f>
        <v>0.85</v>
      </c>
      <c r="M4" s="583"/>
      <c r="N4" s="590"/>
      <c r="O4" s="590"/>
      <c r="P4" s="590"/>
      <c r="Q4" s="590"/>
    </row>
    <row r="5">
      <c r="B5" s="591" t="s">
        <v>650</v>
      </c>
      <c r="C5" s="592" t="s">
        <v>651</v>
      </c>
      <c r="D5" s="593">
        <v>29.0</v>
      </c>
      <c r="E5" s="594">
        <v>1.0</v>
      </c>
      <c r="F5" s="595">
        <v>0.88</v>
      </c>
      <c r="G5" s="595">
        <f t="shared" si="1"/>
        <v>0.88</v>
      </c>
      <c r="H5" s="595">
        <v>0.8</v>
      </c>
      <c r="I5" s="595">
        <f t="shared" si="2"/>
        <v>0.8</v>
      </c>
      <c r="J5" s="595">
        <v>0.68</v>
      </c>
      <c r="K5" s="596">
        <f t="shared" si="3"/>
        <v>0.68</v>
      </c>
      <c r="M5" s="583"/>
      <c r="N5" s="590"/>
      <c r="O5" s="590"/>
      <c r="P5" s="590"/>
      <c r="Q5" s="590"/>
    </row>
    <row r="6">
      <c r="B6" s="591" t="s">
        <v>652</v>
      </c>
      <c r="C6" s="592" t="s">
        <v>651</v>
      </c>
      <c r="D6" s="593">
        <v>24.0</v>
      </c>
      <c r="E6" s="594">
        <v>1.0</v>
      </c>
      <c r="F6" s="595">
        <v>1.8</v>
      </c>
      <c r="G6" s="595">
        <f t="shared" si="1"/>
        <v>1.8</v>
      </c>
      <c r="H6" s="595">
        <v>1.8</v>
      </c>
      <c r="I6" s="595">
        <f t="shared" si="2"/>
        <v>1.8</v>
      </c>
      <c r="J6" s="595">
        <v>1.8</v>
      </c>
      <c r="K6" s="596">
        <f t="shared" si="3"/>
        <v>1.8</v>
      </c>
      <c r="M6" s="583"/>
    </row>
    <row r="7">
      <c r="B7" s="591" t="s">
        <v>653</v>
      </c>
      <c r="C7" s="592" t="s">
        <v>651</v>
      </c>
      <c r="D7" s="593">
        <v>23.0</v>
      </c>
      <c r="E7" s="594">
        <v>1.0</v>
      </c>
      <c r="F7" s="595">
        <v>1.5</v>
      </c>
      <c r="G7" s="595">
        <f t="shared" si="1"/>
        <v>1.5</v>
      </c>
      <c r="H7" s="595">
        <v>1.5</v>
      </c>
      <c r="I7" s="595">
        <f t="shared" si="2"/>
        <v>1.5</v>
      </c>
      <c r="J7" s="595">
        <v>1.5</v>
      </c>
      <c r="K7" s="596">
        <f t="shared" si="3"/>
        <v>1.5</v>
      </c>
      <c r="M7" s="583"/>
    </row>
    <row r="8">
      <c r="B8" s="591" t="s">
        <v>654</v>
      </c>
      <c r="C8" s="592" t="s">
        <v>651</v>
      </c>
      <c r="D8" s="593">
        <v>29.0</v>
      </c>
      <c r="E8" s="594">
        <v>1.0</v>
      </c>
      <c r="F8" s="595">
        <v>0.35</v>
      </c>
      <c r="G8" s="595">
        <f t="shared" si="1"/>
        <v>0.35</v>
      </c>
      <c r="H8" s="595">
        <v>0.21999999999999997</v>
      </c>
      <c r="I8" s="595">
        <f t="shared" si="2"/>
        <v>0.22</v>
      </c>
      <c r="J8" s="595">
        <v>0.09</v>
      </c>
      <c r="K8" s="596">
        <f t="shared" si="3"/>
        <v>0.09</v>
      </c>
      <c r="L8" s="583"/>
      <c r="M8" s="583"/>
    </row>
    <row r="9">
      <c r="B9" s="591" t="s">
        <v>655</v>
      </c>
      <c r="C9" s="592" t="s">
        <v>651</v>
      </c>
      <c r="D9" s="593">
        <v>29.0</v>
      </c>
      <c r="E9" s="594">
        <v>1.0</v>
      </c>
      <c r="F9" s="595">
        <v>0.8</v>
      </c>
      <c r="G9" s="595">
        <f t="shared" si="1"/>
        <v>0.8</v>
      </c>
      <c r="H9" s="595">
        <v>0.6</v>
      </c>
      <c r="I9" s="595">
        <f t="shared" si="2"/>
        <v>0.6</v>
      </c>
      <c r="J9" s="595">
        <v>0.6</v>
      </c>
      <c r="K9" s="596">
        <f t="shared" si="3"/>
        <v>0.6</v>
      </c>
      <c r="M9" s="583"/>
    </row>
    <row r="10">
      <c r="B10" s="591" t="s">
        <v>656</v>
      </c>
      <c r="C10" s="592" t="s">
        <v>651</v>
      </c>
      <c r="D10" s="593">
        <v>23.0</v>
      </c>
      <c r="E10" s="594">
        <v>1.0</v>
      </c>
      <c r="F10" s="595">
        <v>0.5</v>
      </c>
      <c r="G10" s="595">
        <f t="shared" si="1"/>
        <v>0.5</v>
      </c>
      <c r="H10" s="595">
        <v>0.3</v>
      </c>
      <c r="I10" s="595">
        <f t="shared" si="2"/>
        <v>0.3</v>
      </c>
      <c r="J10" s="595">
        <v>0.1</v>
      </c>
      <c r="K10" s="596">
        <f t="shared" si="3"/>
        <v>0.1</v>
      </c>
      <c r="L10" s="583"/>
      <c r="M10" s="583"/>
    </row>
    <row r="11">
      <c r="B11" s="591" t="s">
        <v>657</v>
      </c>
      <c r="C11" s="592" t="s">
        <v>651</v>
      </c>
      <c r="D11" s="593">
        <v>23.0</v>
      </c>
      <c r="E11" s="597">
        <v>0.5</v>
      </c>
      <c r="F11" s="595">
        <v>0.18</v>
      </c>
      <c r="G11" s="595">
        <f t="shared" si="1"/>
        <v>0.09</v>
      </c>
      <c r="H11" s="595">
        <v>0.15</v>
      </c>
      <c r="I11" s="595">
        <f t="shared" si="2"/>
        <v>0.075</v>
      </c>
      <c r="J11" s="595">
        <v>0.13</v>
      </c>
      <c r="K11" s="596">
        <f t="shared" ref="K11:K12" si="4">E11*J11</f>
        <v>0.065</v>
      </c>
      <c r="L11" s="583"/>
      <c r="M11" s="583"/>
    </row>
    <row r="12">
      <c r="B12" s="591" t="s">
        <v>658</v>
      </c>
      <c r="C12" s="592" t="s">
        <v>651</v>
      </c>
      <c r="D12" s="593">
        <v>23.0</v>
      </c>
      <c r="E12" s="594">
        <v>1.0</v>
      </c>
      <c r="F12" s="595">
        <v>0.32</v>
      </c>
      <c r="G12" s="595">
        <f t="shared" si="1"/>
        <v>0.32</v>
      </c>
      <c r="H12" s="595">
        <v>0.25</v>
      </c>
      <c r="I12" s="595">
        <f t="shared" si="2"/>
        <v>0.25</v>
      </c>
      <c r="J12" s="595">
        <v>0.11</v>
      </c>
      <c r="K12" s="596">
        <f t="shared" si="4"/>
        <v>0.11</v>
      </c>
      <c r="L12" s="583"/>
      <c r="M12" s="583"/>
    </row>
    <row r="13">
      <c r="B13" s="591" t="s">
        <v>659</v>
      </c>
      <c r="C13" s="592" t="s">
        <v>651</v>
      </c>
      <c r="D13" s="593">
        <v>23.0</v>
      </c>
      <c r="E13" s="594">
        <v>12.0</v>
      </c>
      <c r="F13" s="595">
        <v>0.02</v>
      </c>
      <c r="G13" s="595">
        <f t="shared" si="1"/>
        <v>0.24</v>
      </c>
      <c r="H13" s="595">
        <v>0.02</v>
      </c>
      <c r="I13" s="595">
        <f t="shared" si="2"/>
        <v>0.24</v>
      </c>
      <c r="J13" s="595">
        <v>0.02</v>
      </c>
      <c r="K13" s="596">
        <f t="shared" ref="K13:K16" si="5">J13*E13</f>
        <v>0.24</v>
      </c>
      <c r="M13" s="583"/>
    </row>
    <row r="14">
      <c r="B14" s="591" t="s">
        <v>660</v>
      </c>
      <c r="C14" s="592" t="s">
        <v>661</v>
      </c>
      <c r="D14" s="593">
        <v>33.0</v>
      </c>
      <c r="E14" s="594">
        <v>1.0</v>
      </c>
      <c r="F14" s="595">
        <v>0.21</v>
      </c>
      <c r="G14" s="595">
        <f t="shared" si="1"/>
        <v>0.21</v>
      </c>
      <c r="H14" s="595">
        <v>0.18</v>
      </c>
      <c r="I14" s="595">
        <f t="shared" si="2"/>
        <v>0.18</v>
      </c>
      <c r="J14" s="595">
        <v>0.18</v>
      </c>
      <c r="K14" s="596">
        <f t="shared" si="5"/>
        <v>0.18</v>
      </c>
      <c r="L14" s="583"/>
      <c r="M14" s="583"/>
    </row>
    <row r="15">
      <c r="B15" s="591" t="s">
        <v>662</v>
      </c>
      <c r="C15" s="592" t="s">
        <v>649</v>
      </c>
      <c r="D15" s="593">
        <v>4.0</v>
      </c>
      <c r="E15" s="597">
        <v>0.25</v>
      </c>
      <c r="F15" s="595">
        <v>1.5</v>
      </c>
      <c r="G15" s="595">
        <f t="shared" ref="G15:G16" si="6">F15*E15</f>
        <v>0.375</v>
      </c>
      <c r="H15" s="595">
        <v>1.5</v>
      </c>
      <c r="I15" s="595">
        <f t="shared" ref="I15:I16" si="7">H15*E15</f>
        <v>0.375</v>
      </c>
      <c r="J15" s="595">
        <v>1.5</v>
      </c>
      <c r="K15" s="596">
        <f t="shared" si="5"/>
        <v>0.375</v>
      </c>
      <c r="M15" s="583"/>
    </row>
    <row r="16">
      <c r="B16" s="598" t="s">
        <v>663</v>
      </c>
      <c r="C16" s="599" t="s">
        <v>651</v>
      </c>
      <c r="D16" s="600">
        <v>29.0</v>
      </c>
      <c r="E16" s="601">
        <v>1.0</v>
      </c>
      <c r="F16" s="595">
        <v>1.0</v>
      </c>
      <c r="G16" s="595">
        <f t="shared" si="6"/>
        <v>1</v>
      </c>
      <c r="H16" s="595">
        <v>0.5</v>
      </c>
      <c r="I16" s="595">
        <f t="shared" si="7"/>
        <v>0.5</v>
      </c>
      <c r="J16" s="595">
        <v>0.1</v>
      </c>
      <c r="K16" s="596">
        <f t="shared" si="5"/>
        <v>0.1</v>
      </c>
      <c r="L16" s="583"/>
      <c r="M16" s="583"/>
    </row>
    <row r="17">
      <c r="B17" s="602"/>
      <c r="C17" s="603" t="s">
        <v>664</v>
      </c>
      <c r="D17" s="604">
        <f>AVERAGE(D4:D16)</f>
        <v>22.76923077</v>
      </c>
      <c r="E17" s="605"/>
      <c r="F17" s="606" t="s">
        <v>665</v>
      </c>
      <c r="G17" s="607">
        <f>SUM(G4:G16)</f>
        <v>9.535</v>
      </c>
      <c r="H17" s="608"/>
      <c r="I17" s="607">
        <f>SUM(I4:I16)</f>
        <v>7.69</v>
      </c>
      <c r="J17" s="608"/>
      <c r="K17" s="607">
        <f>SUM(K4:K16)</f>
        <v>6.69</v>
      </c>
    </row>
    <row r="18" ht="15.0" customHeight="1">
      <c r="B18" s="609"/>
      <c r="C18" s="610"/>
      <c r="D18" s="611"/>
      <c r="E18" s="609"/>
      <c r="F18" s="612"/>
      <c r="G18" s="613"/>
      <c r="H18" s="613"/>
      <c r="I18" s="613"/>
      <c r="J18" s="613"/>
      <c r="K18" s="614"/>
    </row>
    <row r="19">
      <c r="B19" s="615" t="s">
        <v>666</v>
      </c>
      <c r="C19" s="577"/>
      <c r="D19" s="577"/>
      <c r="E19" s="577"/>
      <c r="F19" s="577"/>
      <c r="G19" s="577"/>
      <c r="H19" s="577"/>
      <c r="I19" s="577"/>
      <c r="J19" s="577"/>
      <c r="K19" s="397"/>
    </row>
    <row r="20">
      <c r="B20" s="616" t="s">
        <v>638</v>
      </c>
      <c r="C20" s="579" t="s">
        <v>639</v>
      </c>
      <c r="D20" s="579" t="s">
        <v>640</v>
      </c>
      <c r="E20" s="579" t="s">
        <v>641</v>
      </c>
      <c r="F20" s="580" t="s">
        <v>642</v>
      </c>
      <c r="G20" s="580" t="s">
        <v>667</v>
      </c>
      <c r="H20" s="580" t="s">
        <v>644</v>
      </c>
      <c r="I20" s="580" t="s">
        <v>668</v>
      </c>
      <c r="J20" s="580" t="s">
        <v>646</v>
      </c>
      <c r="K20" s="617" t="s">
        <v>669</v>
      </c>
    </row>
    <row r="21">
      <c r="B21" s="618" t="s">
        <v>648</v>
      </c>
      <c r="C21" s="619" t="s">
        <v>649</v>
      </c>
      <c r="D21" s="586">
        <v>4.0</v>
      </c>
      <c r="E21" s="587">
        <v>1.0</v>
      </c>
      <c r="F21" s="588">
        <v>1.47</v>
      </c>
      <c r="G21" s="588">
        <f t="shared" ref="G21:G31" si="8">E21*F21</f>
        <v>1.47</v>
      </c>
      <c r="H21" s="588">
        <v>0.85</v>
      </c>
      <c r="I21" s="588">
        <f t="shared" ref="I21:I31" si="9">E21*H21</f>
        <v>0.85</v>
      </c>
      <c r="J21" s="588">
        <v>0.85</v>
      </c>
      <c r="K21" s="589">
        <f t="shared" ref="K21:K22" si="10">J21*E21</f>
        <v>0.85</v>
      </c>
      <c r="L21" s="619" t="s">
        <v>649</v>
      </c>
    </row>
    <row r="22">
      <c r="B22" s="620" t="s">
        <v>650</v>
      </c>
      <c r="C22" s="621" t="s">
        <v>649</v>
      </c>
      <c r="D22" s="593">
        <v>4.0</v>
      </c>
      <c r="E22" s="594">
        <v>1.0</v>
      </c>
      <c r="F22" s="595">
        <v>1.61</v>
      </c>
      <c r="G22" s="595">
        <f t="shared" si="8"/>
        <v>1.61</v>
      </c>
      <c r="H22" s="595">
        <v>1.61</v>
      </c>
      <c r="I22" s="595">
        <f t="shared" si="9"/>
        <v>1.61</v>
      </c>
      <c r="J22" s="595">
        <v>1.61</v>
      </c>
      <c r="K22" s="596">
        <f t="shared" si="10"/>
        <v>1.61</v>
      </c>
      <c r="L22" s="621" t="s">
        <v>649</v>
      </c>
    </row>
    <row r="23">
      <c r="B23" s="620" t="s">
        <v>652</v>
      </c>
      <c r="C23" s="621" t="s">
        <v>651</v>
      </c>
      <c r="D23" s="593">
        <v>24.0</v>
      </c>
      <c r="E23" s="594">
        <v>1.0</v>
      </c>
      <c r="F23" s="595">
        <v>1.8</v>
      </c>
      <c r="G23" s="595">
        <f t="shared" si="8"/>
        <v>1.8</v>
      </c>
      <c r="H23" s="595">
        <v>1.8</v>
      </c>
      <c r="I23" s="595">
        <f t="shared" si="9"/>
        <v>1.8</v>
      </c>
      <c r="J23" s="595">
        <v>1.8</v>
      </c>
      <c r="K23" s="596">
        <v>1.8</v>
      </c>
      <c r="L23" s="621" t="s">
        <v>651</v>
      </c>
    </row>
    <row r="24">
      <c r="B24" s="620" t="s">
        <v>653</v>
      </c>
      <c r="C24" s="621" t="s">
        <v>649</v>
      </c>
      <c r="D24" s="593">
        <v>4.0</v>
      </c>
      <c r="E24" s="594">
        <v>1.0</v>
      </c>
      <c r="F24" s="595">
        <v>1.45</v>
      </c>
      <c r="G24" s="595">
        <f t="shared" si="8"/>
        <v>1.45</v>
      </c>
      <c r="H24" s="595">
        <v>1.35</v>
      </c>
      <c r="I24" s="595">
        <f t="shared" si="9"/>
        <v>1.35</v>
      </c>
      <c r="J24" s="595">
        <v>1.35</v>
      </c>
      <c r="K24" s="622">
        <f t="shared" ref="K24:K25" si="11">J24*E24</f>
        <v>1.35</v>
      </c>
      <c r="L24" s="621" t="s">
        <v>649</v>
      </c>
    </row>
    <row r="25">
      <c r="B25" s="620" t="s">
        <v>654</v>
      </c>
      <c r="C25" s="621" t="s">
        <v>649</v>
      </c>
      <c r="D25" s="593">
        <v>4.0</v>
      </c>
      <c r="E25" s="594">
        <v>1.0</v>
      </c>
      <c r="F25" s="595">
        <v>0.99</v>
      </c>
      <c r="G25" s="595">
        <f t="shared" si="8"/>
        <v>0.99</v>
      </c>
      <c r="H25" s="595">
        <v>0.69</v>
      </c>
      <c r="I25" s="595">
        <f t="shared" si="9"/>
        <v>0.69</v>
      </c>
      <c r="J25" s="595">
        <v>0.69</v>
      </c>
      <c r="K25" s="622">
        <f t="shared" si="11"/>
        <v>0.69</v>
      </c>
      <c r="L25" s="621" t="s">
        <v>649</v>
      </c>
    </row>
    <row r="26">
      <c r="B26" s="620" t="s">
        <v>655</v>
      </c>
      <c r="C26" s="621" t="s">
        <v>651</v>
      </c>
      <c r="D26" s="593">
        <v>29.0</v>
      </c>
      <c r="E26" s="594">
        <v>1.0</v>
      </c>
      <c r="F26" s="595">
        <v>0.8</v>
      </c>
      <c r="G26" s="595">
        <f t="shared" si="8"/>
        <v>0.8</v>
      </c>
      <c r="H26" s="595">
        <v>0.6</v>
      </c>
      <c r="I26" s="595">
        <f t="shared" si="9"/>
        <v>0.6</v>
      </c>
      <c r="J26" s="595">
        <v>0.6</v>
      </c>
      <c r="K26" s="596">
        <v>0.6</v>
      </c>
      <c r="L26" s="621" t="s">
        <v>651</v>
      </c>
    </row>
    <row r="27">
      <c r="B27" s="620" t="s">
        <v>656</v>
      </c>
      <c r="C27" s="621" t="s">
        <v>651</v>
      </c>
      <c r="D27" s="593">
        <v>23.0</v>
      </c>
      <c r="E27" s="594">
        <v>1.0</v>
      </c>
      <c r="F27" s="595">
        <v>0.5</v>
      </c>
      <c r="G27" s="595">
        <f t="shared" si="8"/>
        <v>0.5</v>
      </c>
      <c r="H27" s="595">
        <v>0.3</v>
      </c>
      <c r="I27" s="595">
        <f t="shared" si="9"/>
        <v>0.3</v>
      </c>
      <c r="J27" s="595">
        <v>0.1</v>
      </c>
      <c r="K27" s="596">
        <v>0.1</v>
      </c>
      <c r="L27" s="621" t="s">
        <v>651</v>
      </c>
    </row>
    <row r="28">
      <c r="B28" s="620" t="s">
        <v>670</v>
      </c>
      <c r="C28" s="621" t="s">
        <v>649</v>
      </c>
      <c r="D28" s="593">
        <v>4.0</v>
      </c>
      <c r="E28" s="597">
        <v>0.5</v>
      </c>
      <c r="F28" s="595">
        <v>0.3</v>
      </c>
      <c r="G28" s="595">
        <f t="shared" si="8"/>
        <v>0.15</v>
      </c>
      <c r="H28" s="595">
        <v>0.3</v>
      </c>
      <c r="I28" s="595">
        <f t="shared" si="9"/>
        <v>0.15</v>
      </c>
      <c r="J28" s="595">
        <v>0.3</v>
      </c>
      <c r="K28" s="596">
        <f t="shared" ref="K28:K29" si="12">E28*J28</f>
        <v>0.15</v>
      </c>
      <c r="L28" s="621" t="s">
        <v>649</v>
      </c>
    </row>
    <row r="29">
      <c r="B29" s="620" t="s">
        <v>658</v>
      </c>
      <c r="C29" s="621" t="s">
        <v>651</v>
      </c>
      <c r="D29" s="593">
        <v>23.0</v>
      </c>
      <c r="E29" s="594">
        <v>1.0</v>
      </c>
      <c r="F29" s="595">
        <v>0.32</v>
      </c>
      <c r="G29" s="595">
        <f t="shared" si="8"/>
        <v>0.32</v>
      </c>
      <c r="H29" s="595">
        <v>0.25</v>
      </c>
      <c r="I29" s="595">
        <f t="shared" si="9"/>
        <v>0.25</v>
      </c>
      <c r="J29" s="595">
        <v>0.11</v>
      </c>
      <c r="K29" s="596">
        <f t="shared" si="12"/>
        <v>0.11</v>
      </c>
      <c r="L29" s="621" t="s">
        <v>651</v>
      </c>
    </row>
    <row r="30">
      <c r="B30" s="620" t="s">
        <v>659</v>
      </c>
      <c r="C30" s="621" t="s">
        <v>651</v>
      </c>
      <c r="D30" s="593">
        <v>23.0</v>
      </c>
      <c r="E30" s="594">
        <v>12.0</v>
      </c>
      <c r="F30" s="595">
        <v>0.02</v>
      </c>
      <c r="G30" s="595">
        <f t="shared" si="8"/>
        <v>0.24</v>
      </c>
      <c r="H30" s="595">
        <v>0.02</v>
      </c>
      <c r="I30" s="595">
        <f t="shared" si="9"/>
        <v>0.24</v>
      </c>
      <c r="J30" s="595">
        <v>0.02</v>
      </c>
      <c r="K30" s="596">
        <f t="shared" ref="K30:K32" si="13">J30*E30</f>
        <v>0.24</v>
      </c>
      <c r="L30" s="621" t="s">
        <v>651</v>
      </c>
    </row>
    <row r="31">
      <c r="B31" s="620" t="s">
        <v>660</v>
      </c>
      <c r="C31" s="621" t="s">
        <v>661</v>
      </c>
      <c r="D31" s="593">
        <v>33.0</v>
      </c>
      <c r="E31" s="594">
        <v>1.0</v>
      </c>
      <c r="F31" s="595">
        <v>0.21</v>
      </c>
      <c r="G31" s="595">
        <f t="shared" si="8"/>
        <v>0.21</v>
      </c>
      <c r="H31" s="595">
        <v>0.18</v>
      </c>
      <c r="I31" s="595">
        <f t="shared" si="9"/>
        <v>0.18</v>
      </c>
      <c r="J31" s="595">
        <v>0.18</v>
      </c>
      <c r="K31" s="596">
        <f t="shared" si="13"/>
        <v>0.18</v>
      </c>
      <c r="L31" s="621" t="s">
        <v>661</v>
      </c>
    </row>
    <row r="32">
      <c r="B32" s="620" t="s">
        <v>671</v>
      </c>
      <c r="C32" s="621" t="s">
        <v>649</v>
      </c>
      <c r="D32" s="593">
        <v>4.0</v>
      </c>
      <c r="E32" s="597">
        <v>0.25</v>
      </c>
      <c r="F32" s="595">
        <v>1.5</v>
      </c>
      <c r="G32" s="595">
        <f t="shared" ref="G32:G33" si="14">F32*E32</f>
        <v>0.375</v>
      </c>
      <c r="H32" s="595">
        <v>1.5</v>
      </c>
      <c r="I32" s="595">
        <f t="shared" ref="I32:I33" si="15">H32*E32</f>
        <v>0.375</v>
      </c>
      <c r="J32" s="595">
        <v>1.5</v>
      </c>
      <c r="K32" s="596">
        <f t="shared" si="13"/>
        <v>0.375</v>
      </c>
      <c r="L32" s="621" t="s">
        <v>649</v>
      </c>
    </row>
    <row r="33">
      <c r="B33" s="620" t="s">
        <v>663</v>
      </c>
      <c r="C33" s="623" t="s">
        <v>651</v>
      </c>
      <c r="D33" s="600">
        <v>29.0</v>
      </c>
      <c r="E33" s="601">
        <v>1.0</v>
      </c>
      <c r="F33" s="595">
        <v>1.0</v>
      </c>
      <c r="G33" s="595">
        <f t="shared" si="14"/>
        <v>1</v>
      </c>
      <c r="H33" s="595">
        <v>0.5</v>
      </c>
      <c r="I33" s="595">
        <f t="shared" si="15"/>
        <v>0.5</v>
      </c>
      <c r="J33" s="595">
        <v>0.1</v>
      </c>
      <c r="K33" s="596">
        <v>0.1</v>
      </c>
      <c r="L33" s="623" t="s">
        <v>651</v>
      </c>
    </row>
    <row r="34">
      <c r="B34" s="602"/>
      <c r="C34" s="603" t="s">
        <v>672</v>
      </c>
      <c r="D34" s="604">
        <f>AVERAGE(D21:D33)</f>
        <v>16</v>
      </c>
      <c r="E34" s="605"/>
      <c r="F34" s="606" t="s">
        <v>665</v>
      </c>
      <c r="G34" s="607">
        <f>SUM(G21:G33)</f>
        <v>10.915</v>
      </c>
      <c r="H34" s="608"/>
      <c r="I34" s="607">
        <f>SUM(I21:I33)</f>
        <v>8.895</v>
      </c>
      <c r="J34" s="608"/>
      <c r="K34" s="607">
        <f>SUM(K21:K33)</f>
        <v>8.155</v>
      </c>
    </row>
    <row r="35">
      <c r="A35" s="609"/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</row>
    <row r="36">
      <c r="B36" s="624" t="s">
        <v>673</v>
      </c>
      <c r="C36" s="2"/>
      <c r="D36" s="2"/>
      <c r="E36" s="2"/>
      <c r="F36" s="2"/>
      <c r="G36" s="3"/>
      <c r="H36" s="613"/>
      <c r="I36" s="613"/>
      <c r="J36" s="613"/>
      <c r="K36" s="614"/>
    </row>
    <row r="37">
      <c r="B37" s="578" t="s">
        <v>638</v>
      </c>
      <c r="C37" s="625" t="s">
        <v>674</v>
      </c>
      <c r="D37" s="625" t="s">
        <v>675</v>
      </c>
      <c r="E37" s="625" t="s">
        <v>676</v>
      </c>
      <c r="F37" s="625" t="s">
        <v>677</v>
      </c>
      <c r="G37" s="626" t="s">
        <v>678</v>
      </c>
    </row>
    <row r="38">
      <c r="B38" s="627" t="s">
        <v>648</v>
      </c>
      <c r="C38" s="628">
        <f>'OM Inventory'!$C$7*E4</f>
        <v>5902.417156</v>
      </c>
      <c r="D38" s="629">
        <f>C38*IF('OM Direct Materials &amp; Direct La'!$H$23&lt;1000,F4,IF('OM Direct Materials &amp; Direct La'!$H$23&gt;10000,J4,H4))</f>
        <v>5017.054583</v>
      </c>
      <c r="E38" s="630">
        <f>'OM Inventory'!$C$8*E4</f>
        <v>3253.644582</v>
      </c>
      <c r="F38" s="631">
        <f>E38*IF('OM Direct Materials &amp; Direct La'!$H$23&lt;1000,F4,IF('OM Direct Materials &amp; Direct La'!$H$23&gt;10000,J4,H4))</f>
        <v>2765.597895</v>
      </c>
      <c r="G38" s="629">
        <f t="shared" ref="G38:G50" si="16">D38+F38</f>
        <v>7782.652478</v>
      </c>
    </row>
    <row r="39">
      <c r="B39" s="632" t="s">
        <v>650</v>
      </c>
      <c r="C39" s="628">
        <f>'OM Inventory'!$C$7*E5</f>
        <v>5902.417156</v>
      </c>
      <c r="D39" s="633">
        <f>C39*IF('OM Direct Materials &amp; Direct La'!$H$23&lt;1000,F5,IF('OM Direct Materials &amp; Direct La'!$H$23&gt;10000,J5,H5))</f>
        <v>4013.643666</v>
      </c>
      <c r="E39" s="630">
        <f>'OM Inventory'!$C$8*E5</f>
        <v>3253.644582</v>
      </c>
      <c r="F39" s="631">
        <f>E39*IF('OM Direct Materials &amp; Direct La'!$H$23&lt;1000,F5,IF('OM Direct Materials &amp; Direct La'!$H$23&gt;10000,J5,H5))</f>
        <v>2212.478316</v>
      </c>
      <c r="G39" s="633">
        <f t="shared" si="16"/>
        <v>6226.121982</v>
      </c>
      <c r="I39" s="161"/>
      <c r="J39" s="161"/>
      <c r="K39" s="161"/>
    </row>
    <row r="40">
      <c r="B40" s="632" t="s">
        <v>652</v>
      </c>
      <c r="C40" s="628">
        <f>'OM Inventory'!$C$7*E6</f>
        <v>5902.417156</v>
      </c>
      <c r="D40" s="633">
        <f>C40*IF('OM Direct Materials &amp; Direct La'!$H$23&lt;1000,F6,IF('OM Direct Materials &amp; Direct La'!$H$23&gt;10000,J6,H6))</f>
        <v>10624.35088</v>
      </c>
      <c r="E40" s="630">
        <f>'OM Inventory'!$C$8*E6</f>
        <v>3253.644582</v>
      </c>
      <c r="F40" s="631">
        <f>E40*IF('OM Direct Materials &amp; Direct La'!$H$23&lt;1000,F6,IF('OM Direct Materials &amp; Direct La'!$H$23&gt;10000,J6,H6))</f>
        <v>5856.560248</v>
      </c>
      <c r="G40" s="633">
        <f t="shared" si="16"/>
        <v>16480.91113</v>
      </c>
      <c r="I40" s="576"/>
      <c r="J40" s="634"/>
      <c r="K40" s="634"/>
    </row>
    <row r="41">
      <c r="B41" s="632" t="s">
        <v>653</v>
      </c>
      <c r="C41" s="628">
        <f>'OM Inventory'!$C$7*E7</f>
        <v>5902.417156</v>
      </c>
      <c r="D41" s="633">
        <f>C41*IF('OM Direct Materials &amp; Direct La'!$H$23&lt;1000,F7,IF('OM Direct Materials &amp; Direct La'!$H$23&gt;10000,J7,H7))</f>
        <v>8853.625734</v>
      </c>
      <c r="E41" s="630">
        <f>'OM Inventory'!$C$8*E7</f>
        <v>3253.644582</v>
      </c>
      <c r="F41" s="631">
        <f>E41*IF('OM Direct Materials &amp; Direct La'!$H$23&lt;1000,F7,IF('OM Direct Materials &amp; Direct La'!$H$23&gt;10000,J7,H7))</f>
        <v>4880.466873</v>
      </c>
      <c r="G41" s="633">
        <f t="shared" si="16"/>
        <v>13734.09261</v>
      </c>
      <c r="I41" s="576"/>
      <c r="J41" s="634"/>
      <c r="K41" s="634"/>
    </row>
    <row r="42">
      <c r="B42" s="632" t="s">
        <v>654</v>
      </c>
      <c r="C42" s="628">
        <f>'OM Inventory'!$C$7*E8</f>
        <v>5902.417156</v>
      </c>
      <c r="D42" s="633">
        <f>C42*IF('OM Direct Materials &amp; Direct La'!$H$23&lt;1000,F8,IF('OM Direct Materials &amp; Direct La'!$H$23&gt;10000,J8,H8))</f>
        <v>531.217544</v>
      </c>
      <c r="E42" s="630">
        <f>'OM Inventory'!$C$8*E8</f>
        <v>3253.644582</v>
      </c>
      <c r="F42" s="631">
        <f>E42*IF('OM Direct Materials &amp; Direct La'!$H$23&lt;1000,F8,IF('OM Direct Materials &amp; Direct La'!$H$23&gt;10000,J8,H8))</f>
        <v>292.8280124</v>
      </c>
      <c r="G42" s="633">
        <f t="shared" si="16"/>
        <v>824.0455564</v>
      </c>
      <c r="I42" s="576"/>
      <c r="J42" s="576"/>
      <c r="K42" s="634"/>
    </row>
    <row r="43">
      <c r="B43" s="632" t="s">
        <v>655</v>
      </c>
      <c r="C43" s="628">
        <f>'OM Inventory'!$C$7*E9</f>
        <v>5902.417156</v>
      </c>
      <c r="D43" s="633">
        <f>C43*IF('OM Direct Materials &amp; Direct La'!$H$23&lt;1000,F9,IF('OM Direct Materials &amp; Direct La'!$H$23&gt;10000,J9,H9))</f>
        <v>3541.450294</v>
      </c>
      <c r="E43" s="630">
        <f>'OM Inventory'!$C$8*E9</f>
        <v>3253.644582</v>
      </c>
      <c r="F43" s="631">
        <f>E43*IF('OM Direct Materials &amp; Direct La'!$H$23&lt;1000,F9,IF('OM Direct Materials &amp; Direct La'!$H$23&gt;10000,J9,H9))</f>
        <v>1952.186749</v>
      </c>
      <c r="G43" s="633">
        <f t="shared" si="16"/>
        <v>5493.637043</v>
      </c>
      <c r="I43" s="576"/>
      <c r="J43" s="576"/>
      <c r="K43" s="634"/>
    </row>
    <row r="44">
      <c r="B44" s="632" t="s">
        <v>656</v>
      </c>
      <c r="C44" s="628">
        <f>'OM Inventory'!$C$7*E10</f>
        <v>5902.417156</v>
      </c>
      <c r="D44" s="633">
        <f>C44*IF('OM Direct Materials &amp; Direct La'!$H$23&lt;1000,F10,IF('OM Direct Materials &amp; Direct La'!$H$23&gt;10000,J10,H10))</f>
        <v>590.2417156</v>
      </c>
      <c r="E44" s="630">
        <f>'OM Inventory'!$C$8*E10</f>
        <v>3253.644582</v>
      </c>
      <c r="F44" s="631">
        <f>E44*IF('OM Direct Materials &amp; Direct La'!$H$23&lt;1000,F10,IF('OM Direct Materials &amp; Direct La'!$H$23&gt;10000,J10,H10))</f>
        <v>325.3644582</v>
      </c>
      <c r="G44" s="633">
        <f t="shared" si="16"/>
        <v>915.6061738</v>
      </c>
      <c r="I44" s="576"/>
      <c r="J44" s="576"/>
      <c r="K44" s="634"/>
    </row>
    <row r="45">
      <c r="B45" s="632" t="s">
        <v>679</v>
      </c>
      <c r="C45" s="628">
        <f>'OM Inventory'!$C$7*E11</f>
        <v>2951.208578</v>
      </c>
      <c r="D45" s="633">
        <f>C45*IF('OM Direct Materials &amp; Direct La'!$H$23&lt;1000,F11,IF('OM Direct Materials &amp; Direct La'!$H$23&gt;10000,J11,H11))</f>
        <v>383.6571151</v>
      </c>
      <c r="E45" s="630">
        <f>'OM Inventory'!$C$8*E11</f>
        <v>1626.822291</v>
      </c>
      <c r="F45" s="631">
        <f>E45*IF('OM Direct Materials &amp; Direct La'!$H$23&lt;1000,F11,IF('OM Direct Materials &amp; Direct La'!$H$23&gt;10000,J11,H11))</f>
        <v>211.4868978</v>
      </c>
      <c r="G45" s="633">
        <f t="shared" si="16"/>
        <v>595.144013</v>
      </c>
      <c r="I45" s="576"/>
      <c r="J45" s="576"/>
      <c r="K45" s="634"/>
    </row>
    <row r="46">
      <c r="B46" s="632" t="s">
        <v>658</v>
      </c>
      <c r="C46" s="628">
        <f>'OM Inventory'!$C$7*E12</f>
        <v>5902.417156</v>
      </c>
      <c r="D46" s="633">
        <f>C46*IF('OM Direct Materials &amp; Direct La'!$H$23&lt;1000,F12,IF('OM Direct Materials &amp; Direct La'!$H$23&gt;10000,J12,H12))</f>
        <v>649.2658872</v>
      </c>
      <c r="E46" s="630">
        <f>'OM Inventory'!$C$8*E12</f>
        <v>3253.644582</v>
      </c>
      <c r="F46" s="631">
        <f>E46*IF('OM Direct Materials &amp; Direct La'!$H$23&lt;1000,F12,IF('OM Direct Materials &amp; Direct La'!$H$23&gt;10000,J12,H12))</f>
        <v>357.9009041</v>
      </c>
      <c r="G46" s="633">
        <f t="shared" si="16"/>
        <v>1007.166791</v>
      </c>
      <c r="I46" s="576"/>
      <c r="J46" s="634"/>
      <c r="K46" s="634"/>
    </row>
    <row r="47">
      <c r="B47" s="632" t="s">
        <v>659</v>
      </c>
      <c r="C47" s="628">
        <f>'OM Inventory'!$C$7*E13</f>
        <v>70829.00587</v>
      </c>
      <c r="D47" s="633">
        <f>C47*IF('OM Direct Materials &amp; Direct La'!$H$23&lt;1000,F13,IF('OM Direct Materials &amp; Direct La'!$H$23&gt;10000,J13,H13))</f>
        <v>1416.580117</v>
      </c>
      <c r="E47" s="630">
        <f>'OM Inventory'!$C$8*E13</f>
        <v>39043.73499</v>
      </c>
      <c r="F47" s="631">
        <f>E47*IF('OM Direct Materials &amp; Direct La'!$H$23&lt;1000,F13,IF('OM Direct Materials &amp; Direct La'!$H$23&gt;10000,J13,H13))</f>
        <v>780.8746997</v>
      </c>
      <c r="G47" s="633">
        <f t="shared" si="16"/>
        <v>2197.454817</v>
      </c>
      <c r="I47" s="576"/>
      <c r="J47" s="576"/>
      <c r="K47" s="634"/>
    </row>
    <row r="48">
      <c r="B48" s="632" t="s">
        <v>660</v>
      </c>
      <c r="C48" s="628">
        <f>'OM Inventory'!$C$7*E14</f>
        <v>5902.417156</v>
      </c>
      <c r="D48" s="633">
        <f>C48*IF('OM Direct Materials &amp; Direct La'!$H$23&lt;1000,F14,IF('OM Direct Materials &amp; Direct La'!$H$23&gt;10000,J14,H14))</f>
        <v>1062.435088</v>
      </c>
      <c r="E48" s="630">
        <f>'OM Inventory'!$C$8*E14</f>
        <v>3253.644582</v>
      </c>
      <c r="F48" s="631">
        <f>E48*IF('OM Direct Materials &amp; Direct La'!$H$23&lt;1000,F14,IF('OM Direct Materials &amp; Direct La'!$H$23&gt;10000,J14,H14))</f>
        <v>585.6560248</v>
      </c>
      <c r="G48" s="633">
        <f t="shared" si="16"/>
        <v>1648.091113</v>
      </c>
      <c r="I48" s="576"/>
      <c r="J48" s="634"/>
      <c r="K48" s="634"/>
    </row>
    <row r="49">
      <c r="B49" s="632" t="s">
        <v>680</v>
      </c>
      <c r="C49" s="628">
        <f>'OM Inventory'!$C$7*E15</f>
        <v>1475.604289</v>
      </c>
      <c r="D49" s="633">
        <f>C49*IF('OM Direct Materials &amp; Direct La'!$H$23&lt;1000,F15,IF('OM Direct Materials &amp; Direct La'!$H$23&gt;10000,J15,H15))</f>
        <v>2213.406433</v>
      </c>
      <c r="E49" s="630">
        <f>'OM Inventory'!$C$8*E15</f>
        <v>813.4111456</v>
      </c>
      <c r="F49" s="631">
        <f>E49*IF('OM Direct Materials &amp; Direct La'!$H$23&lt;1000,F15,IF('OM Direct Materials &amp; Direct La'!$H$23&gt;10000,J15,H15))</f>
        <v>1220.116718</v>
      </c>
      <c r="G49" s="633">
        <f t="shared" si="16"/>
        <v>3433.523152</v>
      </c>
      <c r="I49" s="576"/>
      <c r="J49" s="576"/>
      <c r="K49" s="634"/>
    </row>
    <row r="50">
      <c r="B50" s="632" t="s">
        <v>663</v>
      </c>
      <c r="C50" s="628">
        <f>'OM Inventory'!$C$7*E16</f>
        <v>5902.417156</v>
      </c>
      <c r="D50" s="633">
        <f>C50*IF('OM Direct Materials &amp; Direct La'!$H$23&lt;1000,F16,IF('OM Direct Materials &amp; Direct La'!$H$23&gt;10000,J16,H16))</f>
        <v>590.2417156</v>
      </c>
      <c r="E50" s="630">
        <f>'OM Inventory'!$C$8*E16</f>
        <v>3253.644582</v>
      </c>
      <c r="F50" s="631">
        <f>E50*IF('OM Direct Materials &amp; Direct La'!$H$23&lt;1000,F16,IF('OM Direct Materials &amp; Direct La'!$H$23&gt;10000,J16,H16))</f>
        <v>325.3644582</v>
      </c>
      <c r="G50" s="635">
        <f t="shared" si="16"/>
        <v>915.6061738</v>
      </c>
      <c r="I50" s="576"/>
      <c r="J50" s="634"/>
      <c r="K50" s="634"/>
    </row>
    <row r="51">
      <c r="B51" s="636"/>
      <c r="C51" s="637"/>
      <c r="D51" s="638"/>
      <c r="E51" s="639"/>
      <c r="F51" s="640" t="s">
        <v>681</v>
      </c>
      <c r="G51" s="641">
        <f>SUM(G37:G50)</f>
        <v>61254.05303</v>
      </c>
      <c r="I51" s="576"/>
      <c r="J51" s="576"/>
      <c r="K51" s="634"/>
    </row>
    <row r="52">
      <c r="I52" s="576"/>
      <c r="J52" s="576"/>
      <c r="K52" s="634"/>
    </row>
    <row r="53">
      <c r="B53" s="624" t="s">
        <v>682</v>
      </c>
      <c r="C53" s="2"/>
      <c r="D53" s="2"/>
      <c r="E53" s="2"/>
      <c r="F53" s="2"/>
      <c r="G53" s="3"/>
    </row>
    <row r="54">
      <c r="B54" s="578" t="s">
        <v>638</v>
      </c>
      <c r="C54" s="625" t="s">
        <v>674</v>
      </c>
      <c r="D54" s="625" t="s">
        <v>675</v>
      </c>
      <c r="E54" s="625" t="s">
        <v>676</v>
      </c>
      <c r="F54" s="625" t="s">
        <v>677</v>
      </c>
      <c r="G54" s="626" t="s">
        <v>678</v>
      </c>
    </row>
    <row r="55">
      <c r="B55" s="627" t="s">
        <v>648</v>
      </c>
      <c r="C55" s="628">
        <f>'OM Inventory'!$C$14*E4</f>
        <v>6767.035813</v>
      </c>
      <c r="D55" s="629">
        <f>C55*IF('OM Direct Materials &amp; Direct La'!$H$41&lt;1000,F4,IF('OM Direct Materials &amp; Direct La'!$H$41&gt;10000,J4,H4))</f>
        <v>5751.980441</v>
      </c>
      <c r="E55" s="642">
        <f>'OM Inventory'!$C$15*E4</f>
        <v>4665.826733</v>
      </c>
      <c r="F55" s="629">
        <f>E55*IF('OM Direct Materials &amp; Direct La'!$H$41&lt;1000,F4,IF('OM Direct Materials &amp; Direct La'!$H$41&gt;10000,J4,H4))</f>
        <v>3965.952723</v>
      </c>
      <c r="G55" s="643">
        <f t="shared" ref="G55:G67" si="17">D55+F55</f>
        <v>9717.933164</v>
      </c>
    </row>
    <row r="56">
      <c r="B56" s="632" t="s">
        <v>650</v>
      </c>
      <c r="C56" s="628">
        <f>'OM Inventory'!$C$14*E5</f>
        <v>6767.035813</v>
      </c>
      <c r="D56" s="629">
        <f>C56*IF('OM Direct Materials &amp; Direct La'!$H$41&lt;1000,F5,IF('OM Direct Materials &amp; Direct La'!$H$41&gt;10000,J5,H5))</f>
        <v>4601.584353</v>
      </c>
      <c r="E56" s="642">
        <f>'OM Inventory'!$C$15*E5</f>
        <v>4665.826733</v>
      </c>
      <c r="F56" s="629">
        <f>E56*IF('OM Direct Materials &amp; Direct La'!$H$41&lt;1000,F5,IF('OM Direct Materials &amp; Direct La'!$H$41&gt;10000,J5,H5))</f>
        <v>3172.762179</v>
      </c>
      <c r="G56" s="643">
        <f t="shared" si="17"/>
        <v>7774.346531</v>
      </c>
    </row>
    <row r="57">
      <c r="B57" s="632" t="s">
        <v>652</v>
      </c>
      <c r="C57" s="628">
        <f>'OM Inventory'!$C$14*E6</f>
        <v>6767.035813</v>
      </c>
      <c r="D57" s="629">
        <f>C57*IF('OM Direct Materials &amp; Direct La'!$H$41&lt;1000,F6,IF('OM Direct Materials &amp; Direct La'!$H$41&gt;10000,J6,H6))</f>
        <v>12180.66446</v>
      </c>
      <c r="E57" s="642">
        <f>'OM Inventory'!$C$15*E6</f>
        <v>4665.826733</v>
      </c>
      <c r="F57" s="629">
        <f>E57*IF('OM Direct Materials &amp; Direct La'!$H$41&lt;1000,F6,IF('OM Direct Materials &amp; Direct La'!$H$41&gt;10000,J6,H6))</f>
        <v>8398.48812</v>
      </c>
      <c r="G57" s="643">
        <f t="shared" si="17"/>
        <v>20579.15258</v>
      </c>
    </row>
    <row r="58">
      <c r="B58" s="632" t="s">
        <v>653</v>
      </c>
      <c r="C58" s="628">
        <f>'OM Inventory'!$C$14*E7</f>
        <v>6767.035813</v>
      </c>
      <c r="D58" s="629">
        <f>C58*IF('OM Direct Materials &amp; Direct La'!$H$41&lt;1000,F7,IF('OM Direct Materials &amp; Direct La'!$H$41&gt;10000,J7,H7))</f>
        <v>10150.55372</v>
      </c>
      <c r="E58" s="642">
        <f>'OM Inventory'!$C$15*E7</f>
        <v>4665.826733</v>
      </c>
      <c r="F58" s="629">
        <f>E58*IF('OM Direct Materials &amp; Direct La'!$H$41&lt;1000,F7,IF('OM Direct Materials &amp; Direct La'!$H$41&gt;10000,J7,H7))</f>
        <v>6998.7401</v>
      </c>
      <c r="G58" s="643">
        <f t="shared" si="17"/>
        <v>17149.29382</v>
      </c>
    </row>
    <row r="59">
      <c r="B59" s="632" t="s">
        <v>654</v>
      </c>
      <c r="C59" s="628">
        <f>'OM Inventory'!$C$14*E8</f>
        <v>6767.035813</v>
      </c>
      <c r="D59" s="629">
        <f>C59*IF('OM Direct Materials &amp; Direct La'!$H$41&lt;1000,F8,IF('OM Direct Materials &amp; Direct La'!$H$41&gt;10000,J8,H8))</f>
        <v>609.0332232</v>
      </c>
      <c r="E59" s="642">
        <f>'OM Inventory'!$C$15*E8</f>
        <v>4665.826733</v>
      </c>
      <c r="F59" s="629">
        <f>E59*IF('OM Direct Materials &amp; Direct La'!$H$41&lt;1000,F8,IF('OM Direct Materials &amp; Direct La'!$H$41&gt;10000,J8,H8))</f>
        <v>419.924406</v>
      </c>
      <c r="G59" s="643">
        <f t="shared" si="17"/>
        <v>1028.957629</v>
      </c>
    </row>
    <row r="60">
      <c r="B60" s="632" t="s">
        <v>655</v>
      </c>
      <c r="C60" s="628">
        <f>'OM Inventory'!$C$14*E9</f>
        <v>6767.035813</v>
      </c>
      <c r="D60" s="629">
        <f>C60*IF('OM Direct Materials &amp; Direct La'!$H$41&lt;1000,F9,IF('OM Direct Materials &amp; Direct La'!$H$41&gt;10000,J9,H9))</f>
        <v>4060.221488</v>
      </c>
      <c r="E60" s="642">
        <f>'OM Inventory'!$C$15*E9</f>
        <v>4665.826733</v>
      </c>
      <c r="F60" s="629">
        <f>E60*IF('OM Direct Materials &amp; Direct La'!$H$41&lt;1000,F9,IF('OM Direct Materials &amp; Direct La'!$H$41&gt;10000,J9,H9))</f>
        <v>2799.49604</v>
      </c>
      <c r="G60" s="643">
        <f t="shared" si="17"/>
        <v>6859.717528</v>
      </c>
    </row>
    <row r="61">
      <c r="B61" s="632" t="s">
        <v>656</v>
      </c>
      <c r="C61" s="628">
        <f>'OM Inventory'!$C$14*E10</f>
        <v>6767.035813</v>
      </c>
      <c r="D61" s="629">
        <f>C61*IF('OM Direct Materials &amp; Direct La'!$H$41&lt;1000,F10,IF('OM Direct Materials &amp; Direct La'!$H$41&gt;10000,J10,H10))</f>
        <v>676.7035813</v>
      </c>
      <c r="E61" s="642">
        <f>'OM Inventory'!$C$15*E10</f>
        <v>4665.826733</v>
      </c>
      <c r="F61" s="629">
        <f>E61*IF('OM Direct Materials &amp; Direct La'!$H$41&lt;1000,F10,IF('OM Direct Materials &amp; Direct La'!$H$41&gt;10000,J10,H10))</f>
        <v>466.5826733</v>
      </c>
      <c r="G61" s="643">
        <f t="shared" si="17"/>
        <v>1143.286255</v>
      </c>
    </row>
    <row r="62">
      <c r="B62" s="632" t="s">
        <v>683</v>
      </c>
      <c r="C62" s="628">
        <f>'OM Inventory'!$C$14*E11</f>
        <v>3383.517906</v>
      </c>
      <c r="D62" s="629">
        <f>C62*IF('OM Direct Materials &amp; Direct La'!$H$41&lt;1000,F11,IF('OM Direct Materials &amp; Direct La'!$H$41&gt;10000,J11,H11))</f>
        <v>439.8573278</v>
      </c>
      <c r="E62" s="642">
        <f>'OM Inventory'!$C$15*E11</f>
        <v>2332.913367</v>
      </c>
      <c r="F62" s="629">
        <f>E62*IF('OM Direct Materials &amp; Direct La'!$H$41&lt;1000,F11,IF('OM Direct Materials &amp; Direct La'!$H$41&gt;10000,J11,H11))</f>
        <v>303.2787377</v>
      </c>
      <c r="G62" s="643">
        <f t="shared" si="17"/>
        <v>743.1360655</v>
      </c>
    </row>
    <row r="63">
      <c r="B63" s="632" t="s">
        <v>658</v>
      </c>
      <c r="C63" s="628">
        <f>'OM Inventory'!$C$14*E12</f>
        <v>6767.035813</v>
      </c>
      <c r="D63" s="629">
        <f>C63*IF('OM Direct Materials &amp; Direct La'!$H$41&lt;1000,F12,IF('OM Direct Materials &amp; Direct La'!$H$41&gt;10000,J12,H12))</f>
        <v>744.3739394</v>
      </c>
      <c r="E63" s="642">
        <f>'OM Inventory'!$C$15*E12</f>
        <v>4665.826733</v>
      </c>
      <c r="F63" s="629">
        <f>E63*IF('OM Direct Materials &amp; Direct La'!$H$41&lt;1000,F12,IF('OM Direct Materials &amp; Direct La'!$H$41&gt;10000,J12,H12))</f>
        <v>513.2409406</v>
      </c>
      <c r="G63" s="643">
        <f t="shared" si="17"/>
        <v>1257.61488</v>
      </c>
    </row>
    <row r="64">
      <c r="B64" s="632" t="s">
        <v>659</v>
      </c>
      <c r="C64" s="628">
        <f>'OM Inventory'!$C$14*E13</f>
        <v>81204.42975</v>
      </c>
      <c r="D64" s="629">
        <f>C64*IF('OM Direct Materials &amp; Direct La'!$H$41&lt;1000,F13,IF('OM Direct Materials &amp; Direct La'!$H$41&gt;10000,J13,H13))</f>
        <v>1624.088595</v>
      </c>
      <c r="E64" s="642">
        <f>'OM Inventory'!$C$15*E13</f>
        <v>55989.9208</v>
      </c>
      <c r="F64" s="629">
        <f>E64*IF('OM Direct Materials &amp; Direct La'!$H$41&lt;1000,F13,IF('OM Direct Materials &amp; Direct La'!$H$41&gt;10000,J13,H13))</f>
        <v>1119.798416</v>
      </c>
      <c r="G64" s="643">
        <f t="shared" si="17"/>
        <v>2743.887011</v>
      </c>
    </row>
    <row r="65">
      <c r="B65" s="632" t="s">
        <v>660</v>
      </c>
      <c r="C65" s="628">
        <f>'OM Inventory'!$C$14*E14</f>
        <v>6767.035813</v>
      </c>
      <c r="D65" s="629">
        <f>C65*IF('OM Direct Materials &amp; Direct La'!$H$41&lt;1000,F14,IF('OM Direct Materials &amp; Direct La'!$H$41&gt;10000,J14,H14))</f>
        <v>1218.066446</v>
      </c>
      <c r="E65" s="642">
        <f>'OM Inventory'!$C$15*E14</f>
        <v>4665.826733</v>
      </c>
      <c r="F65" s="629">
        <f>E65*IF('OM Direct Materials &amp; Direct La'!$H$41&lt;1000,F14,IF('OM Direct Materials &amp; Direct La'!$H$41&gt;10000,J14,H14))</f>
        <v>839.848812</v>
      </c>
      <c r="G65" s="643">
        <f t="shared" si="17"/>
        <v>2057.915258</v>
      </c>
    </row>
    <row r="66">
      <c r="B66" s="632" t="s">
        <v>684</v>
      </c>
      <c r="C66" s="628">
        <f>'OM Inventory'!$C$14*E15</f>
        <v>1691.758953</v>
      </c>
      <c r="D66" s="629">
        <f>C66*IF('OM Direct Materials &amp; Direct La'!$H$41&lt;1000,F15,IF('OM Direct Materials &amp; Direct La'!$H$41&gt;10000,J15,H15))</f>
        <v>2537.63843</v>
      </c>
      <c r="E66" s="642">
        <f>'OM Inventory'!$C$15*E15</f>
        <v>1166.456683</v>
      </c>
      <c r="F66" s="629">
        <f>E66*IF('OM Direct Materials &amp; Direct La'!$H$41&lt;1000,F15,IF('OM Direct Materials &amp; Direct La'!$H$41&gt;10000,J15,H15))</f>
        <v>1749.685025</v>
      </c>
      <c r="G66" s="643">
        <f t="shared" si="17"/>
        <v>4287.323455</v>
      </c>
    </row>
    <row r="67">
      <c r="B67" s="632" t="s">
        <v>663</v>
      </c>
      <c r="C67" s="628">
        <f>'OM Inventory'!$C$14*E16</f>
        <v>6767.035813</v>
      </c>
      <c r="D67" s="629">
        <f>C67*IF('OM Direct Materials &amp; Direct La'!$H$41&lt;1000,F16,IF('OM Direct Materials &amp; Direct La'!$H$41&gt;10000,J16,H16))</f>
        <v>676.7035813</v>
      </c>
      <c r="E67" s="642">
        <f>'OM Inventory'!$C$15*E16</f>
        <v>4665.826733</v>
      </c>
      <c r="F67" s="629">
        <f>E67*IF('OM Direct Materials &amp; Direct La'!$H$41&lt;1000,F16,IF('OM Direct Materials &amp; Direct La'!$H$41&gt;10000,J16,H16))</f>
        <v>466.5826733</v>
      </c>
      <c r="G67" s="643">
        <f t="shared" si="17"/>
        <v>1143.286255</v>
      </c>
    </row>
    <row r="68">
      <c r="B68" s="636"/>
      <c r="C68" s="637"/>
      <c r="D68" s="637"/>
      <c r="E68" s="644"/>
      <c r="F68" s="645" t="s">
        <v>681</v>
      </c>
      <c r="G68" s="641">
        <f>SUM(G54:G67)</f>
        <v>76485.85043</v>
      </c>
    </row>
    <row r="69">
      <c r="B69" s="364"/>
      <c r="C69" s="364"/>
      <c r="D69" s="364"/>
      <c r="E69" s="364"/>
      <c r="F69" s="364"/>
      <c r="G69" s="364"/>
    </row>
    <row r="70">
      <c r="B70" s="624" t="s">
        <v>685</v>
      </c>
      <c r="C70" s="2"/>
      <c r="D70" s="2"/>
      <c r="E70" s="2"/>
      <c r="F70" s="2"/>
      <c r="G70" s="3"/>
    </row>
    <row r="71">
      <c r="B71" s="578" t="s">
        <v>638</v>
      </c>
      <c r="C71" s="625" t="s">
        <v>674</v>
      </c>
      <c r="D71" s="625" t="s">
        <v>675</v>
      </c>
      <c r="E71" s="625" t="s">
        <v>676</v>
      </c>
      <c r="F71" s="625" t="s">
        <v>677</v>
      </c>
      <c r="G71" s="626" t="s">
        <v>678</v>
      </c>
    </row>
    <row r="72">
      <c r="B72" s="627" t="s">
        <v>648</v>
      </c>
      <c r="C72" s="628">
        <f>'OM Inventory'!$C$21*E4</f>
        <v>6610.220848</v>
      </c>
      <c r="D72" s="629">
        <f>C72*IF('OM Direct Materials &amp; Direct La'!$H$58&lt;1000,$F4,IF('OM Direct Materials &amp; Direct La'!$H$58&gt;10000,$J4,$H4))</f>
        <v>5618.687721</v>
      </c>
      <c r="E72" s="642">
        <f>'OM Inventory'!$C$22*E4</f>
        <v>7287.627655</v>
      </c>
      <c r="F72" s="629">
        <f>E72*IF('OM Direct Materials &amp; Direct La'!$H$58&lt;1000,$F4,IF('OM Direct Materials &amp; Direct La'!$H$58&gt;10000,$J4,$H4))</f>
        <v>6194.483507</v>
      </c>
      <c r="G72" s="643">
        <f t="shared" ref="G72:G84" si="18">D72+F72</f>
        <v>11813.17123</v>
      </c>
    </row>
    <row r="73">
      <c r="B73" s="632" t="s">
        <v>650</v>
      </c>
      <c r="C73" s="628">
        <f>'OM Inventory'!$C$21*E5</f>
        <v>6610.220848</v>
      </c>
      <c r="D73" s="629">
        <f>C73*IF('OM Direct Materials &amp; Direct La'!$H$58&lt;1000,$F5,IF('OM Direct Materials &amp; Direct La'!$H$58&gt;10000,$J5,$H5))</f>
        <v>4494.950177</v>
      </c>
      <c r="E73" s="642">
        <f>'OM Inventory'!$C$22*E5</f>
        <v>7287.627655</v>
      </c>
      <c r="F73" s="629">
        <f>E73*IF('OM Direct Materials &amp; Direct La'!$H$58&lt;1000,$F5,IF('OM Direct Materials &amp; Direct La'!$H$58&gt;10000,$J5,$H5))</f>
        <v>4955.586806</v>
      </c>
      <c r="G73" s="643">
        <f t="shared" si="18"/>
        <v>9450.536982</v>
      </c>
    </row>
    <row r="74">
      <c r="B74" s="632" t="s">
        <v>652</v>
      </c>
      <c r="C74" s="628">
        <f>'OM Inventory'!$C$21*E6</f>
        <v>6610.220848</v>
      </c>
      <c r="D74" s="629">
        <f>C74*IF('OM Direct Materials &amp; Direct La'!$H$58&lt;1000,$F6,IF('OM Direct Materials &amp; Direct La'!$H$58&gt;10000,$J6,$H6))</f>
        <v>11898.39753</v>
      </c>
      <c r="E74" s="642">
        <f>'OM Inventory'!$C$22*E6</f>
        <v>7287.627655</v>
      </c>
      <c r="F74" s="629">
        <f>E74*IF('OM Direct Materials &amp; Direct La'!$H$58&lt;1000,$F6,IF('OM Direct Materials &amp; Direct La'!$H$58&gt;10000,$J6,$H6))</f>
        <v>13117.72978</v>
      </c>
      <c r="G74" s="643">
        <f t="shared" si="18"/>
        <v>25016.12731</v>
      </c>
    </row>
    <row r="75">
      <c r="B75" s="632" t="s">
        <v>653</v>
      </c>
      <c r="C75" s="628">
        <f>'OM Inventory'!$C$21*E7</f>
        <v>6610.220848</v>
      </c>
      <c r="D75" s="629">
        <f>C75*IF('OM Direct Materials &amp; Direct La'!$H$58&lt;1000,$F7,IF('OM Direct Materials &amp; Direct La'!$H$58&gt;10000,$J7,$H7))</f>
        <v>9915.331272</v>
      </c>
      <c r="E75" s="642">
        <f>'OM Inventory'!$C$22*E7</f>
        <v>7287.627655</v>
      </c>
      <c r="F75" s="629">
        <f>E75*IF('OM Direct Materials &amp; Direct La'!$H$58&lt;1000,$F7,IF('OM Direct Materials &amp; Direct La'!$H$58&gt;10000,$J7,$H7))</f>
        <v>10931.44148</v>
      </c>
      <c r="G75" s="643">
        <f t="shared" si="18"/>
        <v>20846.77275</v>
      </c>
    </row>
    <row r="76">
      <c r="B76" s="632" t="s">
        <v>654</v>
      </c>
      <c r="C76" s="628">
        <f>'OM Inventory'!$C$21*E8</f>
        <v>6610.220848</v>
      </c>
      <c r="D76" s="629">
        <f>C76*IF('OM Direct Materials &amp; Direct La'!$H$58&lt;1000,$F8,IF('OM Direct Materials &amp; Direct La'!$H$58&gt;10000,$J8,$H8))</f>
        <v>594.9198763</v>
      </c>
      <c r="E76" s="642">
        <f>'OM Inventory'!$C$22*E8</f>
        <v>7287.627655</v>
      </c>
      <c r="F76" s="629">
        <f>E76*IF('OM Direct Materials &amp; Direct La'!$H$58&lt;1000,$F8,IF('OM Direct Materials &amp; Direct La'!$H$58&gt;10000,$J8,$H8))</f>
        <v>655.886489</v>
      </c>
      <c r="G76" s="643">
        <f t="shared" si="18"/>
        <v>1250.806365</v>
      </c>
    </row>
    <row r="77">
      <c r="B77" s="632" t="s">
        <v>655</v>
      </c>
      <c r="C77" s="628">
        <f>'OM Inventory'!$C$21*E9</f>
        <v>6610.220848</v>
      </c>
      <c r="D77" s="629">
        <f>C77*IF('OM Direct Materials &amp; Direct La'!$H$58&lt;1000,$F9,IF('OM Direct Materials &amp; Direct La'!$H$58&gt;10000,$J9,$H9))</f>
        <v>3966.132509</v>
      </c>
      <c r="E77" s="642">
        <f>'OM Inventory'!$C$22*E9</f>
        <v>7287.627655</v>
      </c>
      <c r="F77" s="629">
        <f>E77*IF('OM Direct Materials &amp; Direct La'!$H$58&lt;1000,$F9,IF('OM Direct Materials &amp; Direct La'!$H$58&gt;10000,$J9,$H9))</f>
        <v>4372.576593</v>
      </c>
      <c r="G77" s="643">
        <f t="shared" si="18"/>
        <v>8338.709102</v>
      </c>
    </row>
    <row r="78">
      <c r="B78" s="632" t="s">
        <v>656</v>
      </c>
      <c r="C78" s="628">
        <f>'OM Inventory'!$C$21*E10</f>
        <v>6610.220848</v>
      </c>
      <c r="D78" s="629">
        <f>C78*IF('OM Direct Materials &amp; Direct La'!$H$58&lt;1000,$F10,IF('OM Direct Materials &amp; Direct La'!$H$58&gt;10000,$J10,$H10))</f>
        <v>661.0220848</v>
      </c>
      <c r="E78" s="642">
        <f>'OM Inventory'!$C$22*E10</f>
        <v>7287.627655</v>
      </c>
      <c r="F78" s="629">
        <f>E78*IF('OM Direct Materials &amp; Direct La'!$H$58&lt;1000,$F10,IF('OM Direct Materials &amp; Direct La'!$H$58&gt;10000,$J10,$H10))</f>
        <v>728.7627655</v>
      </c>
      <c r="G78" s="643">
        <f t="shared" si="18"/>
        <v>1389.78485</v>
      </c>
    </row>
    <row r="79">
      <c r="B79" s="632" t="s">
        <v>686</v>
      </c>
      <c r="C79" s="628">
        <f>'OM Inventory'!$C$21*E11</f>
        <v>3305.110424</v>
      </c>
      <c r="D79" s="629">
        <f>C79*IF('OM Direct Materials &amp; Direct La'!$H$58&lt;1000,$F11,IF('OM Direct Materials &amp; Direct La'!$H$58&gt;10000,$J11,$H11))</f>
        <v>429.6643551</v>
      </c>
      <c r="E79" s="642">
        <f>'OM Inventory'!$C$22*E11</f>
        <v>3643.813828</v>
      </c>
      <c r="F79" s="629">
        <f>E79*IF('OM Direct Materials &amp; Direct La'!$H$58&lt;1000,$F11,IF('OM Direct Materials &amp; Direct La'!$H$58&gt;10000,$J11,$H11))</f>
        <v>473.6957976</v>
      </c>
      <c r="G79" s="643">
        <f t="shared" si="18"/>
        <v>903.3601527</v>
      </c>
    </row>
    <row r="80">
      <c r="B80" s="632" t="s">
        <v>658</v>
      </c>
      <c r="C80" s="628">
        <f>'OM Inventory'!$C$21*E12</f>
        <v>6610.220848</v>
      </c>
      <c r="D80" s="629">
        <f>C80*IF('OM Direct Materials &amp; Direct La'!$H$58&lt;1000,$F12,IF('OM Direct Materials &amp; Direct La'!$H$58&gt;10000,$J12,$H12))</f>
        <v>727.1242933</v>
      </c>
      <c r="E80" s="642">
        <f>'OM Inventory'!$C$22*E12</f>
        <v>7287.627655</v>
      </c>
      <c r="F80" s="629">
        <f>E80*IF('OM Direct Materials &amp; Direct La'!$H$58&lt;1000,$F12,IF('OM Direct Materials &amp; Direct La'!$H$58&gt;10000,$J12,$H12))</f>
        <v>801.6390421</v>
      </c>
      <c r="G80" s="643">
        <f t="shared" si="18"/>
        <v>1528.763335</v>
      </c>
    </row>
    <row r="81">
      <c r="B81" s="632" t="s">
        <v>659</v>
      </c>
      <c r="C81" s="628">
        <f>'OM Inventory'!$C$21*E13</f>
        <v>79322.65017</v>
      </c>
      <c r="D81" s="629">
        <f>C81*IF('OM Direct Materials &amp; Direct La'!$H$58&lt;1000,$F13,IF('OM Direct Materials &amp; Direct La'!$H$58&gt;10000,$J13,$H13))</f>
        <v>1586.453003</v>
      </c>
      <c r="E81" s="642">
        <f>'OM Inventory'!$C$22*E13</f>
        <v>87451.53186</v>
      </c>
      <c r="F81" s="629">
        <f>E81*IF('OM Direct Materials &amp; Direct La'!$H$58&lt;1000,$F13,IF('OM Direct Materials &amp; Direct La'!$H$58&gt;10000,$J13,$H13))</f>
        <v>1749.030637</v>
      </c>
      <c r="G81" s="643">
        <f t="shared" si="18"/>
        <v>3335.483641</v>
      </c>
    </row>
    <row r="82">
      <c r="B82" s="632" t="s">
        <v>660</v>
      </c>
      <c r="C82" s="628">
        <f>'OM Inventory'!$C$21*E14</f>
        <v>6610.220848</v>
      </c>
      <c r="D82" s="629">
        <f>C82*IF('OM Direct Materials &amp; Direct La'!$H$58&lt;1000,$F14,IF('OM Direct Materials &amp; Direct La'!$H$58&gt;10000,$J14,$H14))</f>
        <v>1189.839753</v>
      </c>
      <c r="E82" s="642">
        <f>'OM Inventory'!$C$22*E14</f>
        <v>7287.627655</v>
      </c>
      <c r="F82" s="629">
        <f>E82*IF('OM Direct Materials &amp; Direct La'!$H$58&lt;1000,$F14,IF('OM Direct Materials &amp; Direct La'!$H$58&gt;10000,$J14,$H14))</f>
        <v>1311.772978</v>
      </c>
      <c r="G82" s="643">
        <f t="shared" si="18"/>
        <v>2501.612731</v>
      </c>
    </row>
    <row r="83">
      <c r="B83" s="632" t="s">
        <v>687</v>
      </c>
      <c r="C83" s="628">
        <f>'OM Inventory'!$C$21*E15</f>
        <v>1652.555212</v>
      </c>
      <c r="D83" s="629">
        <f>C83*IF('OM Direct Materials &amp; Direct La'!$H$58&lt;1000,$F15,IF('OM Direct Materials &amp; Direct La'!$H$58&gt;10000,$J15,$H15))</f>
        <v>2478.832818</v>
      </c>
      <c r="E83" s="642">
        <f>'OM Inventory'!$C$22*E15</f>
        <v>1821.906914</v>
      </c>
      <c r="F83" s="629">
        <f>E83*IF('OM Direct Materials &amp; Direct La'!$H$58&lt;1000,$F15,IF('OM Direct Materials &amp; Direct La'!$H$58&gt;10000,$J15,$H15))</f>
        <v>2732.860371</v>
      </c>
      <c r="G83" s="643">
        <f t="shared" si="18"/>
        <v>5211.693189</v>
      </c>
    </row>
    <row r="84">
      <c r="B84" s="632" t="s">
        <v>663</v>
      </c>
      <c r="C84" s="628">
        <f>'OM Inventory'!$C$21*E16</f>
        <v>6610.220848</v>
      </c>
      <c r="D84" s="629">
        <f>C84*IF('OM Direct Materials &amp; Direct La'!$H$58&lt;1000,$F16,IF('OM Direct Materials &amp; Direct La'!$H$58&gt;10000,$J16,$H16))</f>
        <v>661.0220848</v>
      </c>
      <c r="E84" s="642">
        <f>'OM Inventory'!$C$22*E16</f>
        <v>7287.627655</v>
      </c>
      <c r="F84" s="629">
        <f>E84*IF('OM Direct Materials &amp; Direct La'!$H$58&lt;1000,$F16,IF('OM Direct Materials &amp; Direct La'!$H$58&gt;10000,$J16,$H16))</f>
        <v>728.7627655</v>
      </c>
      <c r="G84" s="643">
        <f t="shared" si="18"/>
        <v>1389.78485</v>
      </c>
    </row>
    <row r="85">
      <c r="B85" s="636"/>
      <c r="C85" s="637"/>
      <c r="D85" s="638"/>
      <c r="E85" s="644"/>
      <c r="F85" s="640" t="s">
        <v>681</v>
      </c>
      <c r="G85" s="641">
        <f>SUM(G71:G84)</f>
        <v>92976.60649</v>
      </c>
    </row>
    <row r="86">
      <c r="B86" s="364"/>
      <c r="C86" s="364"/>
      <c r="D86" s="364"/>
      <c r="E86" s="364"/>
      <c r="F86" s="364"/>
      <c r="G86" s="364"/>
    </row>
    <row r="87">
      <c r="B87" s="624" t="s">
        <v>688</v>
      </c>
      <c r="C87" s="2"/>
      <c r="D87" s="2"/>
      <c r="E87" s="2"/>
      <c r="F87" s="2"/>
      <c r="G87" s="3"/>
    </row>
    <row r="88">
      <c r="B88" s="578" t="s">
        <v>638</v>
      </c>
      <c r="C88" s="625" t="s">
        <v>674</v>
      </c>
      <c r="D88" s="625" t="s">
        <v>675</v>
      </c>
      <c r="E88" s="625" t="s">
        <v>676</v>
      </c>
      <c r="F88" s="625" t="s">
        <v>677</v>
      </c>
      <c r="G88" s="626" t="s">
        <v>678</v>
      </c>
    </row>
    <row r="89">
      <c r="B89" s="627" t="s">
        <v>648</v>
      </c>
      <c r="C89" s="628">
        <f>'OM Inventory'!$C$28*E4</f>
        <v>7973.6219</v>
      </c>
      <c r="D89" s="629">
        <f>C89*IF('OM Direct Materials &amp; Direct La'!$H$75&lt;1000,$F4,IF('OM Direct Materials &amp; Direct La'!$H$75&gt;10000,$J4,$H4))</f>
        <v>6777.578615</v>
      </c>
      <c r="E89" s="642">
        <f>'OM Inventory'!$C$29*E4</f>
        <v>9162.933189</v>
      </c>
      <c r="F89" s="629">
        <f>E89*IF('OM Direct Materials &amp; Direct La'!$H$75&lt;1000,F4,IF('OM Direct Materials &amp; Direct La'!$H$75&gt;9999,J4,H4))</f>
        <v>7788.49321</v>
      </c>
      <c r="G89" s="643">
        <f t="shared" ref="G89:G101" si="19">D89+F89</f>
        <v>14566.07183</v>
      </c>
    </row>
    <row r="90">
      <c r="B90" s="632" t="s">
        <v>650</v>
      </c>
      <c r="C90" s="628">
        <f>'OM Inventory'!$C$28*E5</f>
        <v>7973.6219</v>
      </c>
      <c r="D90" s="629">
        <f>C90*IF('OM Direct Materials &amp; Direct La'!$H$75&lt;1000,$F5,IF('OM Direct Materials &amp; Direct La'!$H$75&gt;10000,$J5,$H5))</f>
        <v>5422.062892</v>
      </c>
      <c r="E90" s="642">
        <f>'OM Inventory'!$C$29*E5</f>
        <v>9162.933189</v>
      </c>
      <c r="F90" s="629">
        <f>E90*IF('OM Direct Materials &amp; Direct La'!$H$75&lt;1000,F5,IF('OM Direct Materials &amp; Direct La'!$H$75&gt;9999,J5,H5))</f>
        <v>6230.794568</v>
      </c>
      <c r="G90" s="643">
        <f t="shared" si="19"/>
        <v>11652.85746</v>
      </c>
    </row>
    <row r="91">
      <c r="B91" s="632" t="s">
        <v>652</v>
      </c>
      <c r="C91" s="628">
        <f>'OM Inventory'!$C$28*E6</f>
        <v>7973.6219</v>
      </c>
      <c r="D91" s="629">
        <f>C91*IF('OM Direct Materials &amp; Direct La'!$H$75&lt;1000,$F6,IF('OM Direct Materials &amp; Direct La'!$H$75&gt;10000,$J6,$H6))</f>
        <v>14352.51942</v>
      </c>
      <c r="E91" s="642">
        <f>'OM Inventory'!$C$29*E6</f>
        <v>9162.933189</v>
      </c>
      <c r="F91" s="629">
        <f>E91*IF('OM Direct Materials &amp; Direct La'!$H$75&lt;1000,F6,IF('OM Direct Materials &amp; Direct La'!$H$75&gt;9999,J6,H6))</f>
        <v>16493.27974</v>
      </c>
      <c r="G91" s="643">
        <f t="shared" si="19"/>
        <v>30845.79916</v>
      </c>
    </row>
    <row r="92">
      <c r="B92" s="632" t="s">
        <v>653</v>
      </c>
      <c r="C92" s="628">
        <f>'OM Inventory'!$C$28*E7</f>
        <v>7973.6219</v>
      </c>
      <c r="D92" s="629">
        <f>C92*IF('OM Direct Materials &amp; Direct La'!$H$75&lt;1000,$F7,IF('OM Direct Materials &amp; Direct La'!$H$75&gt;10000,$J7,$H7))</f>
        <v>11960.43285</v>
      </c>
      <c r="E92" s="642">
        <f>'OM Inventory'!$C$29*E7</f>
        <v>9162.933189</v>
      </c>
      <c r="F92" s="629">
        <f>E92*IF('OM Direct Materials &amp; Direct La'!$H$75&lt;1000,F7,IF('OM Direct Materials &amp; Direct La'!$H$75&gt;9999,J7,H7))</f>
        <v>13744.39978</v>
      </c>
      <c r="G92" s="643">
        <f t="shared" si="19"/>
        <v>25704.83263</v>
      </c>
    </row>
    <row r="93">
      <c r="B93" s="632" t="s">
        <v>654</v>
      </c>
      <c r="C93" s="628">
        <f>'OM Inventory'!$C$28*E8</f>
        <v>7973.6219</v>
      </c>
      <c r="D93" s="629">
        <f>C93*IF('OM Direct Materials &amp; Direct La'!$H$75&lt;1000,$F8,IF('OM Direct Materials &amp; Direct La'!$H$75&gt;10000,$J8,$H8))</f>
        <v>717.625971</v>
      </c>
      <c r="E93" s="642">
        <f>'OM Inventory'!$C$29*E8</f>
        <v>9162.933189</v>
      </c>
      <c r="F93" s="629">
        <f>E93*IF('OM Direct Materials &amp; Direct La'!$H$75&lt;1000,F8,IF('OM Direct Materials &amp; Direct La'!$H$75&gt;9999,J8,H8))</f>
        <v>824.663987</v>
      </c>
      <c r="G93" s="643">
        <f t="shared" si="19"/>
        <v>1542.289958</v>
      </c>
    </row>
    <row r="94">
      <c r="B94" s="632" t="s">
        <v>655</v>
      </c>
      <c r="C94" s="628">
        <f>'OM Inventory'!$C$28*E9</f>
        <v>7973.6219</v>
      </c>
      <c r="D94" s="629">
        <f>C94*IF('OM Direct Materials &amp; Direct La'!$H$75&lt;1000,$F9,IF('OM Direct Materials &amp; Direct La'!$H$75&gt;10000,$J9,$H9))</f>
        <v>4784.17314</v>
      </c>
      <c r="E94" s="642">
        <f>'OM Inventory'!$C$29*E9</f>
        <v>9162.933189</v>
      </c>
      <c r="F94" s="629">
        <f>E94*IF('OM Direct Materials &amp; Direct La'!$H$75&lt;1000,F9,IF('OM Direct Materials &amp; Direct La'!$H$75&gt;9999,J9,H9))</f>
        <v>5497.759913</v>
      </c>
      <c r="G94" s="643">
        <f t="shared" si="19"/>
        <v>10281.93305</v>
      </c>
    </row>
    <row r="95">
      <c r="B95" s="632" t="s">
        <v>656</v>
      </c>
      <c r="C95" s="628">
        <f>'OM Inventory'!$C$28*E10</f>
        <v>7973.6219</v>
      </c>
      <c r="D95" s="629">
        <f>C95*IF('OM Direct Materials &amp; Direct La'!$H$75&lt;1000,$F10,IF('OM Direct Materials &amp; Direct La'!$H$75&gt;10000,$J10,$H10))</f>
        <v>797.36219</v>
      </c>
      <c r="E95" s="642">
        <f>'OM Inventory'!$C$29*E10</f>
        <v>9162.933189</v>
      </c>
      <c r="F95" s="629">
        <f>E95*IF('OM Direct Materials &amp; Direct La'!$H$75&lt;1000,F10,IF('OM Direct Materials &amp; Direct La'!$H$75&gt;9999,J10,H10))</f>
        <v>916.2933189</v>
      </c>
      <c r="G95" s="643">
        <f t="shared" si="19"/>
        <v>1713.655509</v>
      </c>
    </row>
    <row r="96">
      <c r="B96" s="632" t="s">
        <v>689</v>
      </c>
      <c r="C96" s="628">
        <f>'OM Inventory'!$C$28*E11</f>
        <v>3986.81095</v>
      </c>
      <c r="D96" s="629">
        <f>C96*IF('OM Direct Materials &amp; Direct La'!$H$75&lt;1000,$F11,IF('OM Direct Materials &amp; Direct La'!$H$75&gt;10000,$J11,$H11))</f>
        <v>518.2854235</v>
      </c>
      <c r="E96" s="642">
        <f>'OM Inventory'!$C$29*E11</f>
        <v>4581.466594</v>
      </c>
      <c r="F96" s="629">
        <f>E96*IF('OM Direct Materials &amp; Direct La'!$H$75&lt;1000,F11,IF('OM Direct Materials &amp; Direct La'!$H$75&gt;9999,J11,H11))</f>
        <v>595.5906573</v>
      </c>
      <c r="G96" s="643">
        <f t="shared" si="19"/>
        <v>1113.876081</v>
      </c>
    </row>
    <row r="97">
      <c r="B97" s="632" t="s">
        <v>658</v>
      </c>
      <c r="C97" s="628">
        <f>'OM Inventory'!$C$28*E12</f>
        <v>7973.6219</v>
      </c>
      <c r="D97" s="629">
        <f>C97*IF('OM Direct Materials &amp; Direct La'!$H$75&lt;1000,$F12,IF('OM Direct Materials &amp; Direct La'!$H$75&gt;10000,$J12,$H12))</f>
        <v>877.098409</v>
      </c>
      <c r="E97" s="642">
        <f>'OM Inventory'!$C$29*E12</f>
        <v>9162.933189</v>
      </c>
      <c r="F97" s="629">
        <f>E97*IF('OM Direct Materials &amp; Direct La'!$H$75&lt;1000,F12,IF('OM Direct Materials &amp; Direct La'!$H$75&gt;9999,J12,H12))</f>
        <v>1007.922651</v>
      </c>
      <c r="G97" s="643">
        <f t="shared" si="19"/>
        <v>1885.02106</v>
      </c>
    </row>
    <row r="98">
      <c r="B98" s="632" t="s">
        <v>659</v>
      </c>
      <c r="C98" s="628">
        <f>'OM Inventory'!$C$28*E13</f>
        <v>95683.4628</v>
      </c>
      <c r="D98" s="629">
        <f>C98*IF('OM Direct Materials &amp; Direct La'!$H$75&lt;1000,$F13,IF('OM Direct Materials &amp; Direct La'!$H$75&gt;10000,$J13,$H13))</f>
        <v>1913.669256</v>
      </c>
      <c r="E98" s="642">
        <f>'OM Inventory'!$C$29*E13</f>
        <v>109955.1983</v>
      </c>
      <c r="F98" s="629">
        <f>E98*IF('OM Direct Materials &amp; Direct La'!$H$75&lt;1000,F13,IF('OM Direct Materials &amp; Direct La'!$H$75&gt;9999,J13,H13))</f>
        <v>2199.103965</v>
      </c>
      <c r="G98" s="643">
        <f t="shared" si="19"/>
        <v>4112.773221</v>
      </c>
    </row>
    <row r="99">
      <c r="B99" s="632" t="s">
        <v>660</v>
      </c>
      <c r="C99" s="628">
        <f>'OM Inventory'!$C$28*E14</f>
        <v>7973.6219</v>
      </c>
      <c r="D99" s="629">
        <f>C99*IF('OM Direct Materials &amp; Direct La'!$H$75&lt;1000,$F14,IF('OM Direct Materials &amp; Direct La'!$H$75&gt;10000,$J14,$H14))</f>
        <v>1435.251942</v>
      </c>
      <c r="E99" s="642">
        <f>'OM Inventory'!$C$29*E14</f>
        <v>9162.933189</v>
      </c>
      <c r="F99" s="629">
        <f>E99*IF('OM Direct Materials &amp; Direct La'!$H$75&lt;1000,F14,IF('OM Direct Materials &amp; Direct La'!$H$75&gt;9999,J14,H14))</f>
        <v>1649.327974</v>
      </c>
      <c r="G99" s="643">
        <f t="shared" si="19"/>
        <v>3084.579916</v>
      </c>
    </row>
    <row r="100">
      <c r="B100" s="632" t="s">
        <v>690</v>
      </c>
      <c r="C100" s="628">
        <f>'OM Inventory'!$C$28*E15</f>
        <v>1993.405475</v>
      </c>
      <c r="D100" s="629">
        <f>C100*IF('OM Direct Materials &amp; Direct La'!$H$75&lt;1000,$F15,IF('OM Direct Materials &amp; Direct La'!$H$75&gt;10000,$J15,$H15))</f>
        <v>2990.108213</v>
      </c>
      <c r="E100" s="642">
        <f>'OM Inventory'!$C$29*E15</f>
        <v>2290.733297</v>
      </c>
      <c r="F100" s="629">
        <f>E100*IF('OM Direct Materials &amp; Direct La'!$H$75&lt;1000,F15,IF('OM Direct Materials &amp; Direct La'!$H$75&gt;9999,J15,H15))</f>
        <v>3436.099946</v>
      </c>
      <c r="G100" s="643">
        <f t="shared" si="19"/>
        <v>6426.208158</v>
      </c>
    </row>
    <row r="101">
      <c r="B101" s="632" t="s">
        <v>663</v>
      </c>
      <c r="C101" s="628">
        <f>'OM Inventory'!$C$28*E16</f>
        <v>7973.6219</v>
      </c>
      <c r="D101" s="629">
        <f>C101*IF('OM Direct Materials &amp; Direct La'!$H$75&lt;1000,$F16,IF('OM Direct Materials &amp; Direct La'!$H$75&gt;10000,$J16,$H16))</f>
        <v>797.36219</v>
      </c>
      <c r="E101" s="642">
        <f>'OM Inventory'!$C$29*E16</f>
        <v>9162.933189</v>
      </c>
      <c r="F101" s="629">
        <f>E101*IF('OM Direct Materials &amp; Direct La'!$H$75&lt;1000,F16,IF('OM Direct Materials &amp; Direct La'!$H$75&gt;9999,J16,H16))</f>
        <v>916.2933189</v>
      </c>
      <c r="G101" s="643">
        <f t="shared" si="19"/>
        <v>1713.655509</v>
      </c>
    </row>
    <row r="102">
      <c r="B102" s="636"/>
      <c r="C102" s="637"/>
      <c r="D102" s="638"/>
      <c r="E102" s="644"/>
      <c r="F102" s="645" t="s">
        <v>681</v>
      </c>
      <c r="G102" s="641">
        <f>SUM(G88:G101)</f>
        <v>114643.5535</v>
      </c>
    </row>
    <row r="103">
      <c r="B103" s="364"/>
      <c r="C103" s="364"/>
      <c r="D103" s="364"/>
      <c r="E103" s="364"/>
      <c r="F103" s="364"/>
      <c r="G103" s="364"/>
    </row>
    <row r="104">
      <c r="B104" s="624" t="s">
        <v>691</v>
      </c>
      <c r="C104" s="2"/>
      <c r="D104" s="2"/>
      <c r="E104" s="2"/>
      <c r="F104" s="2"/>
      <c r="G104" s="3"/>
    </row>
    <row r="105">
      <c r="B105" s="578" t="s">
        <v>638</v>
      </c>
      <c r="C105" s="625" t="s">
        <v>674</v>
      </c>
      <c r="D105" s="625" t="s">
        <v>675</v>
      </c>
      <c r="E105" s="625" t="s">
        <v>676</v>
      </c>
      <c r="F105" s="625" t="s">
        <v>677</v>
      </c>
      <c r="G105" s="626" t="s">
        <v>678</v>
      </c>
    </row>
    <row r="106">
      <c r="B106" s="627" t="s">
        <v>648</v>
      </c>
      <c r="C106" s="628">
        <f>'OM Inventory'!$C$35*E4</f>
        <v>5189.710849</v>
      </c>
      <c r="D106" s="629">
        <f>C106*IF('OM Direct Materials &amp; Direct La'!$H$92&lt;1000,$F4,IF('OM Direct Materials &amp; Direct La'!$H$92&gt;10000,$J4,$H4))</f>
        <v>4411.254221</v>
      </c>
      <c r="E106" s="642">
        <f>'OM Inventory'!$C$36*E4</f>
        <v>13716.70755</v>
      </c>
      <c r="F106" s="629">
        <f>E106*IF('OM Direct Materials &amp; Direct La'!$H$92&lt;1000,$F4,IF('OM Direct Materials &amp; Direct La'!$H$92&gt;10000,$J4,$H4))</f>
        <v>11659.20141</v>
      </c>
      <c r="G106" s="629">
        <f t="shared" ref="G106:G118" si="20">D106+F106</f>
        <v>16070.45563</v>
      </c>
    </row>
    <row r="107">
      <c r="B107" s="632" t="s">
        <v>650</v>
      </c>
      <c r="C107" s="628">
        <f>'OM Inventory'!$C$35*E5</f>
        <v>5189.710849</v>
      </c>
      <c r="D107" s="629">
        <f>C107*IF('OM Direct Materials &amp; Direct La'!$H$92&lt;1000,$F5,IF('OM Direct Materials &amp; Direct La'!$H$92&gt;10000,$J5,$H5))</f>
        <v>3529.003377</v>
      </c>
      <c r="E107" s="642">
        <f>'OM Inventory'!$C$36*E5</f>
        <v>13716.70755</v>
      </c>
      <c r="F107" s="629">
        <f>E107*IF('OM Direct Materials &amp; Direct La'!$H$92&lt;1000,$F5,IF('OM Direct Materials &amp; Direct La'!$H$92&gt;10000,$J5,$H5))</f>
        <v>9327.361131</v>
      </c>
      <c r="G107" s="629">
        <f t="shared" si="20"/>
        <v>12856.36451</v>
      </c>
    </row>
    <row r="108">
      <c r="B108" s="632" t="s">
        <v>652</v>
      </c>
      <c r="C108" s="628">
        <f>'OM Inventory'!$C$35*E6</f>
        <v>5189.710849</v>
      </c>
      <c r="D108" s="629">
        <f>C108*IF('OM Direct Materials &amp; Direct La'!$H$92&lt;1000,$F6,IF('OM Direct Materials &amp; Direct La'!$H$92&gt;10000,$J6,$H6))</f>
        <v>9341.479528</v>
      </c>
      <c r="E108" s="642">
        <f>'OM Inventory'!$C$36*E6</f>
        <v>13716.70755</v>
      </c>
      <c r="F108" s="629">
        <f>E108*IF('OM Direct Materials &amp; Direct La'!$H$92&lt;1000,$F6,IF('OM Direct Materials &amp; Direct La'!$H$92&gt;10000,$J6,$H6))</f>
        <v>24690.07358</v>
      </c>
      <c r="G108" s="629">
        <f t="shared" si="20"/>
        <v>34031.55311</v>
      </c>
    </row>
    <row r="109">
      <c r="B109" s="632" t="s">
        <v>653</v>
      </c>
      <c r="C109" s="628">
        <f>'OM Inventory'!$C$35*E7</f>
        <v>5189.710849</v>
      </c>
      <c r="D109" s="629">
        <f>C109*IF('OM Direct Materials &amp; Direct La'!$H$92&lt;1000,$F7,IF('OM Direct Materials &amp; Direct La'!$H$92&gt;10000,$J7,$H7))</f>
        <v>7784.566273</v>
      </c>
      <c r="E109" s="642">
        <f>'OM Inventory'!$C$36*E7</f>
        <v>13716.70755</v>
      </c>
      <c r="F109" s="629">
        <f>E109*IF('OM Direct Materials &amp; Direct La'!$H$92&lt;1000,$F7,IF('OM Direct Materials &amp; Direct La'!$H$92&gt;10000,$J7,$H7))</f>
        <v>20575.06132</v>
      </c>
      <c r="G109" s="629">
        <f t="shared" si="20"/>
        <v>28359.62759</v>
      </c>
    </row>
    <row r="110">
      <c r="B110" s="632" t="s">
        <v>654</v>
      </c>
      <c r="C110" s="628">
        <f>'OM Inventory'!$C$35*E8</f>
        <v>5189.710849</v>
      </c>
      <c r="D110" s="629">
        <f>C110*IF('OM Direct Materials &amp; Direct La'!$H$92&lt;1000,$F8,IF('OM Direct Materials &amp; Direct La'!$H$92&gt;10000,$J8,$H8))</f>
        <v>467.0739764</v>
      </c>
      <c r="E110" s="642">
        <f>'OM Inventory'!$C$36*E8</f>
        <v>13716.70755</v>
      </c>
      <c r="F110" s="629">
        <f>E110*IF('OM Direct Materials &amp; Direct La'!$H$92&lt;1000,$F8,IF('OM Direct Materials &amp; Direct La'!$H$92&gt;10000,$J8,$H8))</f>
        <v>1234.503679</v>
      </c>
      <c r="G110" s="629">
        <f t="shared" si="20"/>
        <v>1701.577655</v>
      </c>
    </row>
    <row r="111">
      <c r="B111" s="632" t="s">
        <v>655</v>
      </c>
      <c r="C111" s="628">
        <f>'OM Inventory'!$C$35*E9</f>
        <v>5189.710849</v>
      </c>
      <c r="D111" s="629">
        <f>C111*IF('OM Direct Materials &amp; Direct La'!$H$92&lt;1000,$F9,IF('OM Direct Materials &amp; Direct La'!$H$92&gt;10000,$J9,$H9))</f>
        <v>3113.826509</v>
      </c>
      <c r="E111" s="642">
        <f>'OM Inventory'!$C$36*E9</f>
        <v>13716.70755</v>
      </c>
      <c r="F111" s="629">
        <f>E111*IF('OM Direct Materials &amp; Direct La'!$H$92&lt;1000,$F9,IF('OM Direct Materials &amp; Direct La'!$H$92&gt;10000,$J9,$H9))</f>
        <v>8230.024527</v>
      </c>
      <c r="G111" s="629">
        <f t="shared" si="20"/>
        <v>11343.85104</v>
      </c>
    </row>
    <row r="112">
      <c r="B112" s="632" t="s">
        <v>656</v>
      </c>
      <c r="C112" s="628">
        <f>'OM Inventory'!$C$35*E10</f>
        <v>5189.710849</v>
      </c>
      <c r="D112" s="629">
        <f>C112*IF('OM Direct Materials &amp; Direct La'!$H$92&lt;1000,$F10,IF('OM Direct Materials &amp; Direct La'!$H$92&gt;10000,$J10,$H10))</f>
        <v>518.9710849</v>
      </c>
      <c r="E112" s="642">
        <f>'OM Inventory'!$C$36*E10</f>
        <v>13716.70755</v>
      </c>
      <c r="F112" s="629">
        <f>E112*IF('OM Direct Materials &amp; Direct La'!$H$92&lt;1000,$F10,IF('OM Direct Materials &amp; Direct La'!$H$92&gt;10000,$J10,$H10))</f>
        <v>1371.670755</v>
      </c>
      <c r="G112" s="629">
        <f t="shared" si="20"/>
        <v>1890.641839</v>
      </c>
    </row>
    <row r="113">
      <c r="B113" s="632" t="s">
        <v>692</v>
      </c>
      <c r="C113" s="628">
        <f>'OM Inventory'!$C$35*E11</f>
        <v>2594.855424</v>
      </c>
      <c r="D113" s="629">
        <f>C113*IF('OM Direct Materials &amp; Direct La'!$H$92&lt;1000,$F11,IF('OM Direct Materials &amp; Direct La'!$H$92&gt;10000,$J11,$H11))</f>
        <v>337.3312052</v>
      </c>
      <c r="E113" s="642">
        <f>'OM Inventory'!$C$36*E11</f>
        <v>6858.353773</v>
      </c>
      <c r="F113" s="629">
        <f>E113*IF('OM Direct Materials &amp; Direct La'!$H$92&lt;1000,$F11,IF('OM Direct Materials &amp; Direct La'!$H$92&gt;10000,$J11,$H11))</f>
        <v>891.5859904</v>
      </c>
      <c r="G113" s="629">
        <f t="shared" si="20"/>
        <v>1228.917196</v>
      </c>
    </row>
    <row r="114">
      <c r="B114" s="632" t="s">
        <v>658</v>
      </c>
      <c r="C114" s="628">
        <f>'OM Inventory'!$C$35*E12</f>
        <v>5189.710849</v>
      </c>
      <c r="D114" s="629">
        <f>C114*IF('OM Direct Materials &amp; Direct La'!$H$92&lt;1000,$F12,IF('OM Direct Materials &amp; Direct La'!$H$92&gt;10000,$J12,$H12))</f>
        <v>570.8681934</v>
      </c>
      <c r="E114" s="642">
        <f>'OM Inventory'!$C$36*E12</f>
        <v>13716.70755</v>
      </c>
      <c r="F114" s="629">
        <f>E114*IF('OM Direct Materials &amp; Direct La'!$H$92&lt;1000,$F12,IF('OM Direct Materials &amp; Direct La'!$H$92&gt;10000,$J12,$H12))</f>
        <v>1508.83783</v>
      </c>
      <c r="G114" s="629">
        <f t="shared" si="20"/>
        <v>2079.706023</v>
      </c>
    </row>
    <row r="115">
      <c r="B115" s="632" t="s">
        <v>659</v>
      </c>
      <c r="C115" s="628">
        <f>'OM Inventory'!$C$35*E13</f>
        <v>62276.53019</v>
      </c>
      <c r="D115" s="629">
        <f>C115*IF('OM Direct Materials &amp; Direct La'!$H$92&lt;1000,$F13,IF('OM Direct Materials &amp; Direct La'!$H$92&gt;10000,$J13,$H13))</f>
        <v>1245.530604</v>
      </c>
      <c r="E115" s="642">
        <f>'OM Inventory'!$C$36*E13</f>
        <v>164600.4905</v>
      </c>
      <c r="F115" s="629">
        <f>E115*IF('OM Direct Materials &amp; Direct La'!$H$92&lt;1000,$F13,IF('OM Direct Materials &amp; Direct La'!$H$92&gt;10000,$J13,$H13))</f>
        <v>3292.009811</v>
      </c>
      <c r="G115" s="629">
        <f t="shared" si="20"/>
        <v>4537.540415</v>
      </c>
    </row>
    <row r="116">
      <c r="B116" s="632" t="s">
        <v>660</v>
      </c>
      <c r="C116" s="628">
        <f>'OM Inventory'!$C$35*E14</f>
        <v>5189.710849</v>
      </c>
      <c r="D116" s="629">
        <f>C116*IF('OM Direct Materials &amp; Direct La'!$H$92&lt;1000,$F14,IF('OM Direct Materials &amp; Direct La'!$H$92&gt;10000,$J14,$H14))</f>
        <v>934.1479528</v>
      </c>
      <c r="E116" s="642">
        <f>'OM Inventory'!$C$36*E14</f>
        <v>13716.70755</v>
      </c>
      <c r="F116" s="629">
        <f>E116*IF('OM Direct Materials &amp; Direct La'!$H$92&lt;1000,$F14,IF('OM Direct Materials &amp; Direct La'!$H$92&gt;10000,$J14,$H14))</f>
        <v>2469.007358</v>
      </c>
      <c r="G116" s="629">
        <f t="shared" si="20"/>
        <v>3403.155311</v>
      </c>
    </row>
    <row r="117">
      <c r="B117" s="632" t="s">
        <v>693</v>
      </c>
      <c r="C117" s="628">
        <f>'OM Inventory'!$C$35*E15</f>
        <v>1297.427712</v>
      </c>
      <c r="D117" s="629">
        <f>C117*IF('OM Direct Materials &amp; Direct La'!$H$92&lt;1000,$F15,IF('OM Direct Materials &amp; Direct La'!$H$92&gt;10000,$J15,$H15))</f>
        <v>1946.141568</v>
      </c>
      <c r="E117" s="642">
        <f>'OM Inventory'!$C$36*E15</f>
        <v>3429.176886</v>
      </c>
      <c r="F117" s="629">
        <f>E117*IF('OM Direct Materials &amp; Direct La'!$H$92&lt;1000,$F15,IF('OM Direct Materials &amp; Direct La'!$H$92&gt;10000,$J15,$H15))</f>
        <v>5143.765329</v>
      </c>
      <c r="G117" s="629">
        <f t="shared" si="20"/>
        <v>7089.906898</v>
      </c>
    </row>
    <row r="118">
      <c r="B118" s="632" t="s">
        <v>663</v>
      </c>
      <c r="C118" s="628">
        <f>'OM Inventory'!$C$35*E16</f>
        <v>5189.710849</v>
      </c>
      <c r="D118" s="629">
        <f>C118*IF('OM Direct Materials &amp; Direct La'!$H$92&lt;1000,$F16,IF('OM Direct Materials &amp; Direct La'!$H$92&gt;10000,$J16,$H16))</f>
        <v>518.9710849</v>
      </c>
      <c r="E118" s="642">
        <f>'OM Inventory'!$C$36*E16</f>
        <v>13716.70755</v>
      </c>
      <c r="F118" s="629">
        <f>E118*IF('OM Direct Materials &amp; Direct La'!$H$92&lt;1000,$F16,IF('OM Direct Materials &amp; Direct La'!$H$92&gt;10000,$J16,$H16))</f>
        <v>1371.670755</v>
      </c>
      <c r="G118" s="629">
        <f t="shared" si="20"/>
        <v>1890.641839</v>
      </c>
    </row>
    <row r="119">
      <c r="B119" s="636"/>
      <c r="C119" s="637"/>
      <c r="D119" s="638"/>
      <c r="E119" s="644"/>
      <c r="F119" s="645" t="s">
        <v>681</v>
      </c>
      <c r="G119" s="641">
        <f>SUM(G105:G118)</f>
        <v>126483.9391</v>
      </c>
    </row>
    <row r="121">
      <c r="F121" s="590"/>
    </row>
    <row r="122">
      <c r="C122" s="646"/>
      <c r="D122" s="647"/>
      <c r="F122" s="648"/>
    </row>
    <row r="123">
      <c r="C123" s="646"/>
      <c r="D123" s="647"/>
      <c r="F123" s="648"/>
    </row>
    <row r="124">
      <c r="C124" s="646"/>
      <c r="D124" s="647"/>
      <c r="F124" s="648"/>
    </row>
    <row r="125">
      <c r="C125" s="646"/>
      <c r="D125" s="647"/>
      <c r="F125" s="648"/>
    </row>
    <row r="126">
      <c r="C126" s="646"/>
      <c r="D126" s="647"/>
      <c r="F126" s="648"/>
    </row>
    <row r="127">
      <c r="C127" s="646"/>
      <c r="D127" s="647"/>
      <c r="E127" s="649"/>
      <c r="F127" s="648"/>
    </row>
    <row r="128">
      <c r="C128" s="646"/>
      <c r="D128" s="647"/>
      <c r="F128" s="648"/>
    </row>
    <row r="129">
      <c r="C129" s="648"/>
      <c r="D129" s="647"/>
      <c r="F129" s="648"/>
    </row>
    <row r="130">
      <c r="C130" s="646"/>
      <c r="D130" s="647"/>
      <c r="F130" s="648"/>
    </row>
    <row r="131">
      <c r="C131" s="646"/>
      <c r="D131" s="647"/>
      <c r="F131" s="648"/>
    </row>
    <row r="132">
      <c r="C132" s="646"/>
      <c r="D132" s="647"/>
      <c r="F132" s="648"/>
    </row>
    <row r="133">
      <c r="C133" s="648"/>
      <c r="D133" s="647"/>
      <c r="F133" s="648"/>
    </row>
    <row r="134">
      <c r="C134" s="646"/>
      <c r="D134" s="647"/>
      <c r="F134" s="648"/>
    </row>
    <row r="135">
      <c r="F135" s="648"/>
    </row>
  </sheetData>
  <mergeCells count="7">
    <mergeCell ref="B2:K2"/>
    <mergeCell ref="B19:K19"/>
    <mergeCell ref="B36:G36"/>
    <mergeCell ref="B53:G53"/>
    <mergeCell ref="B70:G70"/>
    <mergeCell ref="B87:G87"/>
    <mergeCell ref="B104:G104"/>
  </mergeCell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8"/>
    <hyperlink r:id="rId28" ref="B39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72"/>
    <hyperlink r:id="rId54" ref="B73"/>
    <hyperlink r:id="rId55" ref="B74"/>
    <hyperlink r:id="rId56" ref="B75"/>
    <hyperlink r:id="rId57" ref="B76"/>
    <hyperlink r:id="rId58" ref="B77"/>
    <hyperlink r:id="rId59" ref="B78"/>
    <hyperlink r:id="rId60" ref="B79"/>
    <hyperlink r:id="rId61" ref="B80"/>
    <hyperlink r:id="rId62" ref="B81"/>
    <hyperlink r:id="rId63" ref="B82"/>
    <hyperlink r:id="rId64" ref="B83"/>
    <hyperlink r:id="rId65" ref="B84"/>
    <hyperlink r:id="rId66" ref="B89"/>
    <hyperlink r:id="rId67" ref="B90"/>
    <hyperlink r:id="rId68" ref="B91"/>
    <hyperlink r:id="rId69" ref="B92"/>
    <hyperlink r:id="rId70" ref="B93"/>
    <hyperlink r:id="rId71" ref="B94"/>
    <hyperlink r:id="rId72" ref="B95"/>
    <hyperlink r:id="rId73" ref="B96"/>
    <hyperlink r:id="rId74" ref="B97"/>
    <hyperlink r:id="rId75" ref="B98"/>
    <hyperlink r:id="rId76" ref="B99"/>
    <hyperlink r:id="rId77" ref="B100"/>
    <hyperlink r:id="rId78" ref="B101"/>
    <hyperlink r:id="rId79" ref="B106"/>
    <hyperlink r:id="rId80" ref="B107"/>
    <hyperlink r:id="rId81" ref="B108"/>
    <hyperlink r:id="rId82" ref="B109"/>
    <hyperlink r:id="rId83" ref="B110"/>
    <hyperlink r:id="rId84" ref="B111"/>
    <hyperlink r:id="rId85" ref="B112"/>
    <hyperlink r:id="rId86" ref="B113"/>
    <hyperlink r:id="rId87" ref="B114"/>
    <hyperlink r:id="rId88" ref="B115"/>
    <hyperlink r:id="rId89" ref="B116"/>
    <hyperlink r:id="rId90" ref="B117"/>
    <hyperlink r:id="rId91" ref="B118"/>
  </hyperlinks>
  <printOptions/>
  <pageMargins bottom="0.75" footer="0.0" header="0.0" left="0.7" right="0.7" top="0.75"/>
  <pageSetup orientation="landscape"/>
  <drawing r:id="rId92"/>
  <tableParts count="7">
    <tablePart r:id="rId100"/>
    <tablePart r:id="rId101"/>
    <tablePart r:id="rId102"/>
    <tablePart r:id="rId103"/>
    <tablePart r:id="rId104"/>
    <tablePart r:id="rId105"/>
    <tablePart r:id="rId10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34.13"/>
    <col customWidth="1" min="3" max="3" width="27.38"/>
    <col customWidth="1" min="4" max="4" width="41.75"/>
    <col customWidth="1" min="5" max="5" width="41.0"/>
    <col customWidth="1" min="6" max="6" width="33.13"/>
    <col customWidth="1" min="7" max="7" width="19.63"/>
    <col customWidth="1" min="8" max="8" width="25.25"/>
    <col customWidth="1" min="9" max="9" width="8.63"/>
    <col customWidth="1" min="10" max="10" width="30.25"/>
    <col customWidth="1" min="11" max="15" width="15.75"/>
    <col customWidth="1" min="16" max="16" width="13.88"/>
    <col customWidth="1" min="17" max="19" width="8.63"/>
  </cols>
  <sheetData>
    <row r="1" ht="14.25" customHeight="1"/>
    <row r="2" ht="14.25" customHeight="1">
      <c r="B2" s="1" t="s">
        <v>694</v>
      </c>
      <c r="C2" s="3"/>
    </row>
    <row r="3" ht="14.25" customHeight="1"/>
    <row r="4" ht="14.25" customHeight="1">
      <c r="C4" s="174" t="s">
        <v>31</v>
      </c>
      <c r="D4" s="201" t="s">
        <v>32</v>
      </c>
      <c r="E4" s="201" t="s">
        <v>33</v>
      </c>
      <c r="F4" s="201" t="s">
        <v>34</v>
      </c>
      <c r="G4" s="201" t="s">
        <v>35</v>
      </c>
      <c r="H4" s="202" t="s">
        <v>36</v>
      </c>
    </row>
    <row r="5" ht="14.25" customHeight="1">
      <c r="B5" s="650" t="s">
        <v>695</v>
      </c>
      <c r="C5" s="651">
        <v>112.0</v>
      </c>
      <c r="D5" s="296">
        <f>'OM Assumptions'!$C$7</f>
        <v>2000</v>
      </c>
      <c r="E5" s="296">
        <f>'OM Assumptions'!$C$7</f>
        <v>2000</v>
      </c>
      <c r="F5" s="296">
        <f>'OM Assumptions'!$C$7</f>
        <v>2000</v>
      </c>
      <c r="G5" s="296">
        <f>'OM Assumptions'!$C$7</f>
        <v>2000</v>
      </c>
      <c r="H5" s="297">
        <f>'OM Assumptions'!$C$7</f>
        <v>2000</v>
      </c>
    </row>
    <row r="6" ht="14.25" customHeight="1">
      <c r="B6" s="216" t="s">
        <v>696</v>
      </c>
      <c r="C6" s="79"/>
      <c r="D6" s="497">
        <f>'MK Sales Projections'!C14</f>
        <v>47219.33725</v>
      </c>
      <c r="E6" s="497">
        <f>'MK Sales Projections'!D14</f>
        <v>81204.42975</v>
      </c>
      <c r="F6" s="497">
        <f>'MK Sales Projections'!E14</f>
        <v>105763.5336</v>
      </c>
      <c r="G6" s="497">
        <f>'MK Sales Projections'!F14</f>
        <v>159472.438</v>
      </c>
      <c r="H6" s="498">
        <f>'MK Sales Projections'!G14</f>
        <v>238726.699</v>
      </c>
    </row>
    <row r="7" ht="14.25" customHeight="1">
      <c r="B7" s="216" t="s">
        <v>697</v>
      </c>
      <c r="C7" s="79"/>
      <c r="D7" s="497">
        <f t="shared" ref="D7:H7" si="1">(D5*60*60)/D6</f>
        <v>152.4799038</v>
      </c>
      <c r="E7" s="497">
        <f t="shared" si="1"/>
        <v>88.66511374</v>
      </c>
      <c r="F7" s="497">
        <f t="shared" si="1"/>
        <v>68.07639417</v>
      </c>
      <c r="G7" s="497">
        <f t="shared" si="1"/>
        <v>45.14886767</v>
      </c>
      <c r="H7" s="498">
        <f t="shared" si="1"/>
        <v>30.16001155</v>
      </c>
    </row>
    <row r="8" ht="14.25" customHeight="1">
      <c r="B8" s="216" t="s">
        <v>698</v>
      </c>
      <c r="C8" s="79"/>
      <c r="D8" s="497">
        <f>'OM Process Flow'!C14</f>
        <v>120</v>
      </c>
      <c r="E8" s="497">
        <f>'OM Process Flow'!C26</f>
        <v>80</v>
      </c>
      <c r="F8" s="497">
        <f>'OM Process Flow'!C38</f>
        <v>60</v>
      </c>
      <c r="G8" s="497">
        <f>'OM Process Flow'!C50</f>
        <v>40</v>
      </c>
      <c r="H8" s="498">
        <f>'OM Process Flow'!C62</f>
        <v>30</v>
      </c>
    </row>
    <row r="9" ht="14.25" customHeight="1">
      <c r="B9" s="216" t="s">
        <v>699</v>
      </c>
      <c r="C9" s="308"/>
      <c r="D9" s="308">
        <f>'OM Process Flow'!E13</f>
        <v>4</v>
      </c>
      <c r="E9" s="308">
        <f>'OM Process Flow'!E25</f>
        <v>7</v>
      </c>
      <c r="F9" s="308">
        <f>'OM Process Flow'!E37</f>
        <v>10</v>
      </c>
      <c r="G9" s="308">
        <f>'OM Process Flow'!E49</f>
        <v>12</v>
      </c>
      <c r="H9" s="309">
        <f>'OM Process Flow'!E61</f>
        <v>17</v>
      </c>
    </row>
    <row r="10" ht="14.25" customHeight="1">
      <c r="B10" s="216" t="s">
        <v>700</v>
      </c>
      <c r="C10" s="79"/>
      <c r="D10" s="652">
        <v>12.84427</v>
      </c>
      <c r="E10" s="311">
        <f>D10*(1+'OM Assumptions'!$C$8)</f>
        <v>13.2295981</v>
      </c>
      <c r="F10" s="311">
        <f>E10*(1+'OM Assumptions'!$C$8)</f>
        <v>13.62648604</v>
      </c>
      <c r="G10" s="311">
        <f>F10*(1+'OM Assumptions'!$C$8)</f>
        <v>14.03528062</v>
      </c>
      <c r="H10" s="232">
        <f>G10*(1+'OM Assumptions'!$C$8)</f>
        <v>14.45633904</v>
      </c>
      <c r="I10" s="364"/>
    </row>
    <row r="11" ht="14.25" customHeight="1">
      <c r="B11" s="216" t="s">
        <v>482</v>
      </c>
      <c r="C11" s="308"/>
      <c r="D11" s="311">
        <f>D9*D10*'OM Assumptions'!$C$7</f>
        <v>102754.16</v>
      </c>
      <c r="E11" s="311">
        <f>E9*E10*'OM Assumptions'!$C$7</f>
        <v>185214.3734</v>
      </c>
      <c r="F11" s="311">
        <f>F9*F10*'OM Assumptions'!$C$7</f>
        <v>272529.7209</v>
      </c>
      <c r="G11" s="311">
        <f>G9*G10*'OM Assumptions'!$C$7</f>
        <v>336846.735</v>
      </c>
      <c r="H11" s="232">
        <f>H9*H10*'OM Assumptions'!$C$7</f>
        <v>491515.5275</v>
      </c>
    </row>
    <row r="12" ht="14.25" customHeight="1">
      <c r="B12" s="216" t="s">
        <v>701</v>
      </c>
      <c r="C12" s="311"/>
      <c r="D12" s="311">
        <f>D11*'OM Assumptions'!$C$9</f>
        <v>30826.248</v>
      </c>
      <c r="E12" s="311">
        <f>E11*'OM Assumptions'!$C$9</f>
        <v>55564.31202</v>
      </c>
      <c r="F12" s="311">
        <f>F11*'OM Assumptions'!$C$9</f>
        <v>81758.91626</v>
      </c>
      <c r="G12" s="311">
        <f>G11*'OM Assumptions'!$C$9</f>
        <v>101054.0205</v>
      </c>
      <c r="H12" s="232">
        <f>H11*'OM Assumptions'!$C$9</f>
        <v>147454.6582</v>
      </c>
    </row>
    <row r="13" ht="14.25" customHeight="1">
      <c r="B13" s="216" t="s">
        <v>702</v>
      </c>
      <c r="C13" s="61"/>
      <c r="D13" s="61">
        <f t="shared" ref="D13:H13" si="2">SUM(D11:D12)</f>
        <v>133580.408</v>
      </c>
      <c r="E13" s="61">
        <f t="shared" si="2"/>
        <v>240778.6854</v>
      </c>
      <c r="F13" s="61">
        <f t="shared" si="2"/>
        <v>354288.6371</v>
      </c>
      <c r="G13" s="61">
        <f t="shared" si="2"/>
        <v>437900.7555</v>
      </c>
      <c r="H13" s="314">
        <f t="shared" si="2"/>
        <v>638970.1857</v>
      </c>
    </row>
    <row r="14" ht="14.25" customHeight="1">
      <c r="B14" s="218" t="s">
        <v>132</v>
      </c>
      <c r="C14" s="511"/>
      <c r="D14" s="511">
        <f>(D13/'MK Sales Projections'!C14)</f>
        <v>2.828934411</v>
      </c>
      <c r="E14" s="511">
        <f>(E13/'MK Sales Projections'!D14)</f>
        <v>2.96509299</v>
      </c>
      <c r="F14" s="511">
        <f>(F13/'MK Sales Projections'!E14)</f>
        <v>3.34981846</v>
      </c>
      <c r="G14" s="511">
        <f>(G13/'MK Sales Projections'!F14)</f>
        <v>2.745933786</v>
      </c>
      <c r="H14" s="234">
        <f>(H13/'MK Sales Projections'!G14)</f>
        <v>2.676576136</v>
      </c>
      <c r="J14" s="653"/>
    </row>
    <row r="15" ht="14.25" customHeight="1">
      <c r="J15" s="654"/>
    </row>
    <row r="16" ht="14.25" customHeight="1">
      <c r="B16" s="1" t="s">
        <v>703</v>
      </c>
      <c r="C16" s="3"/>
      <c r="K16" s="655" t="s">
        <v>704</v>
      </c>
      <c r="L16" s="2"/>
      <c r="M16" s="2"/>
      <c r="N16" s="2"/>
      <c r="O16" s="3"/>
    </row>
    <row r="17" ht="14.25" customHeight="1">
      <c r="K17" s="656" t="s">
        <v>32</v>
      </c>
      <c r="L17" s="657" t="s">
        <v>33</v>
      </c>
      <c r="M17" s="657" t="s">
        <v>34</v>
      </c>
      <c r="N17" s="657" t="s">
        <v>35</v>
      </c>
      <c r="O17" s="658" t="s">
        <v>36</v>
      </c>
    </row>
    <row r="18" ht="14.25" customHeight="1">
      <c r="B18" s="237" t="s">
        <v>705</v>
      </c>
      <c r="J18" s="650" t="s">
        <v>706</v>
      </c>
      <c r="K18" s="659">
        <f>H29</f>
        <v>347647.1028</v>
      </c>
      <c r="L18" s="659">
        <f>H47</f>
        <v>597823.3986</v>
      </c>
      <c r="M18" s="659">
        <f>H64</f>
        <v>778633.8435</v>
      </c>
      <c r="N18" s="659">
        <f>H81</f>
        <v>1173957.671</v>
      </c>
      <c r="O18" s="660">
        <f>H98</f>
        <v>1757709.778</v>
      </c>
      <c r="P18" s="661">
        <f>sum(K18:O18)</f>
        <v>4655771.794</v>
      </c>
    </row>
    <row r="19" ht="14.25" customHeight="1">
      <c r="B19" s="326" t="s">
        <v>707</v>
      </c>
      <c r="C19" s="475" t="s">
        <v>639</v>
      </c>
      <c r="D19" s="475" t="s">
        <v>708</v>
      </c>
      <c r="E19" s="475" t="s">
        <v>709</v>
      </c>
      <c r="F19" s="476" t="s">
        <v>710</v>
      </c>
      <c r="H19" s="188" t="s">
        <v>711</v>
      </c>
      <c r="J19" s="216" t="s">
        <v>712</v>
      </c>
      <c r="K19" s="662">
        <f>H32</f>
        <v>400805.0308</v>
      </c>
      <c r="L19" s="662">
        <f>H50</f>
        <v>688713.8172</v>
      </c>
      <c r="M19" s="662">
        <f>H50</f>
        <v>688713.8172</v>
      </c>
      <c r="N19" s="662">
        <f>H84</f>
        <v>1348977.353</v>
      </c>
      <c r="O19" s="663">
        <f>H101</f>
        <v>2019389.147</v>
      </c>
      <c r="P19" s="661">
        <f>SUM(K19:O19)</f>
        <v>5146599.166</v>
      </c>
    </row>
    <row r="20" ht="14.25" customHeight="1">
      <c r="B20" s="225" t="s">
        <v>713</v>
      </c>
      <c r="C20" s="664" t="s">
        <v>714</v>
      </c>
      <c r="D20" s="665">
        <f>'OM Raw Material Data'!G$4</f>
        <v>1.47</v>
      </c>
      <c r="E20" s="666">
        <f>'OM Raw Material Data'!I$4</f>
        <v>0.85</v>
      </c>
      <c r="F20" s="667">
        <f>'OM Raw Material Data'!K$4</f>
        <v>0.85</v>
      </c>
      <c r="H20" s="668">
        <v>4.0</v>
      </c>
      <c r="J20" s="470" t="s">
        <v>715</v>
      </c>
      <c r="K20" s="669">
        <f>H23</f>
        <v>11804.83431</v>
      </c>
      <c r="L20" s="669">
        <f>H41</f>
        <v>13534.07163</v>
      </c>
      <c r="M20" s="669">
        <f>H58</f>
        <v>13220.4417</v>
      </c>
      <c r="N20" s="669">
        <f>H75</f>
        <v>15947.2438</v>
      </c>
      <c r="O20" s="670">
        <f>H92</f>
        <v>10379.4217</v>
      </c>
    </row>
    <row r="21" ht="14.25" customHeight="1">
      <c r="B21" s="216" t="s">
        <v>716</v>
      </c>
      <c r="C21" s="242" t="s">
        <v>714</v>
      </c>
      <c r="D21" s="671">
        <f>'OM Raw Material Data'!G$5</f>
        <v>0.88</v>
      </c>
      <c r="E21" s="671">
        <f>'OM Raw Material Data'!I$5</f>
        <v>0.8</v>
      </c>
      <c r="F21" s="672">
        <f>'OM Raw Material Data'!K$5</f>
        <v>0.68</v>
      </c>
      <c r="H21" s="161"/>
      <c r="J21" s="218" t="s">
        <v>717</v>
      </c>
      <c r="K21" s="673">
        <f>H26</f>
        <v>1372</v>
      </c>
      <c r="L21" s="673">
        <f>H44</f>
        <v>1799</v>
      </c>
      <c r="M21" s="673">
        <f>H61</f>
        <v>2053</v>
      </c>
      <c r="N21" s="673">
        <f>H78</f>
        <v>2521</v>
      </c>
      <c r="O21" s="674">
        <f>H95</f>
        <v>3085</v>
      </c>
    </row>
    <row r="22" ht="14.25" customHeight="1">
      <c r="B22" s="216" t="s">
        <v>718</v>
      </c>
      <c r="C22" s="242" t="s">
        <v>714</v>
      </c>
      <c r="D22" s="671">
        <f>'OM Raw Material Data'!G$6</f>
        <v>1.8</v>
      </c>
      <c r="E22" s="671">
        <f>'OM Raw Material Data'!I$6</f>
        <v>1.8</v>
      </c>
      <c r="F22" s="672">
        <f>'OM Raw Material Data'!K$6</f>
        <v>1.8</v>
      </c>
      <c r="H22" s="188" t="s">
        <v>719</v>
      </c>
      <c r="K22" s="661">
        <f t="shared" ref="K22:O22" si="3">K19-K18</f>
        <v>53157.92804</v>
      </c>
      <c r="L22" s="661">
        <f t="shared" si="3"/>
        <v>90890.41869</v>
      </c>
      <c r="M22" s="661">
        <f t="shared" si="3"/>
        <v>-89920.02626</v>
      </c>
      <c r="N22" s="661">
        <f t="shared" si="3"/>
        <v>175019.6818</v>
      </c>
      <c r="O22" s="661">
        <f t="shared" si="3"/>
        <v>261679.3689</v>
      </c>
    </row>
    <row r="23" ht="14.25" customHeight="1">
      <c r="B23" s="216" t="s">
        <v>720</v>
      </c>
      <c r="C23" s="242" t="s">
        <v>714</v>
      </c>
      <c r="D23" s="671">
        <f>'OM Raw Material Data'!G$7</f>
        <v>1.5</v>
      </c>
      <c r="E23" s="671">
        <f>'OM Raw Material Data'!I$7</f>
        <v>1.5</v>
      </c>
      <c r="F23" s="672">
        <f>'OM Raw Material Data'!K$7</f>
        <v>1.5</v>
      </c>
      <c r="H23" s="668">
        <f>D6/H20</f>
        <v>11804.83431</v>
      </c>
    </row>
    <row r="24" ht="14.25" customHeight="1">
      <c r="B24" s="216" t="s">
        <v>721</v>
      </c>
      <c r="C24" s="242" t="s">
        <v>714</v>
      </c>
      <c r="D24" s="671">
        <f>'OM Raw Material Data'!G$8</f>
        <v>0.35</v>
      </c>
      <c r="E24" s="671">
        <f>'OM Raw Material Data'!I$8</f>
        <v>0.22</v>
      </c>
      <c r="F24" s="672">
        <f>'OM Raw Material Data'!K$8</f>
        <v>0.09</v>
      </c>
    </row>
    <row r="25" ht="14.25" customHeight="1">
      <c r="B25" s="216" t="s">
        <v>722</v>
      </c>
      <c r="C25" s="242" t="s">
        <v>714</v>
      </c>
      <c r="D25" s="671">
        <f>'OM Raw Material Data'!G$9</f>
        <v>0.8</v>
      </c>
      <c r="E25" s="671">
        <f>'OM Raw Material Data'!I$9</f>
        <v>0.6</v>
      </c>
      <c r="F25" s="672">
        <f>'OM Raw Material Data'!K$9</f>
        <v>0.6</v>
      </c>
      <c r="H25" s="188" t="s">
        <v>717</v>
      </c>
    </row>
    <row r="26" ht="14.25" customHeight="1">
      <c r="B26" s="216" t="s">
        <v>656</v>
      </c>
      <c r="C26" s="242" t="s">
        <v>714</v>
      </c>
      <c r="D26" s="671">
        <f>'OM Raw Material Data'!G$10</f>
        <v>0.5</v>
      </c>
      <c r="E26" s="671">
        <f>'OM Raw Material Data'!I$10</f>
        <v>0.3</v>
      </c>
      <c r="F26" s="672">
        <f>'OM Raw Material Data'!K$10</f>
        <v>0.1</v>
      </c>
      <c r="H26" s="668">
        <f>'OM Inventory'!J7</f>
        <v>1372</v>
      </c>
    </row>
    <row r="27" ht="14.25" customHeight="1">
      <c r="B27" s="216" t="s">
        <v>723</v>
      </c>
      <c r="C27" s="242" t="s">
        <v>714</v>
      </c>
      <c r="D27" s="671">
        <f>'OM Raw Material Data'!G$11</f>
        <v>0.09</v>
      </c>
      <c r="E27" s="671">
        <f>'OM Raw Material Data'!I$11</f>
        <v>0.075</v>
      </c>
      <c r="F27" s="672">
        <f>'OM Raw Material Data'!K$11</f>
        <v>0.065</v>
      </c>
    </row>
    <row r="28" ht="14.25" customHeight="1">
      <c r="B28" s="216" t="s">
        <v>724</v>
      </c>
      <c r="C28" s="242" t="s">
        <v>714</v>
      </c>
      <c r="D28" s="671">
        <f>'OM Raw Material Data'!G$12</f>
        <v>0.32</v>
      </c>
      <c r="E28" s="671">
        <f>'OM Raw Material Data'!I$12</f>
        <v>0.25</v>
      </c>
      <c r="F28" s="672">
        <f>'OM Raw Material Data'!K$12</f>
        <v>0.11</v>
      </c>
      <c r="H28" s="675" t="s">
        <v>725</v>
      </c>
    </row>
    <row r="29" ht="14.25" customHeight="1">
      <c r="B29" s="216" t="s">
        <v>726</v>
      </c>
      <c r="C29" s="242" t="s">
        <v>714</v>
      </c>
      <c r="D29" s="671">
        <f>'OM Raw Material Data'!G$13</f>
        <v>0.24</v>
      </c>
      <c r="E29" s="671">
        <f>'OM Raw Material Data'!I$13</f>
        <v>0.24</v>
      </c>
      <c r="F29" s="672">
        <f>'OM Raw Material Data'!K$13</f>
        <v>0.24</v>
      </c>
      <c r="H29" s="676">
        <f>($H23*($F33+$F34)+'OM Assumptions'!$F$35)*$H20</f>
        <v>347647.1028</v>
      </c>
    </row>
    <row r="30" ht="14.25" customHeight="1">
      <c r="B30" s="216" t="s">
        <v>727</v>
      </c>
      <c r="C30" s="242" t="s">
        <v>728</v>
      </c>
      <c r="D30" s="671">
        <f>'OM Raw Material Data'!G$14</f>
        <v>0.21</v>
      </c>
      <c r="E30" s="671">
        <f>'OM Raw Material Data'!I$14</f>
        <v>0.18</v>
      </c>
      <c r="F30" s="672">
        <f>'OM Raw Material Data'!K$14</f>
        <v>0.18</v>
      </c>
      <c r="H30" s="569"/>
    </row>
    <row r="31" ht="14.25" customHeight="1">
      <c r="B31" s="216" t="s">
        <v>729</v>
      </c>
      <c r="C31" s="242" t="s">
        <v>649</v>
      </c>
      <c r="D31" s="671">
        <f>'OM Raw Material Data'!G$15</f>
        <v>0.375</v>
      </c>
      <c r="E31" s="671">
        <f>'OM Raw Material Data'!I$15</f>
        <v>0.375</v>
      </c>
      <c r="F31" s="672">
        <f>'OM Raw Material Data'!K$15</f>
        <v>0.375</v>
      </c>
      <c r="H31" s="677" t="s">
        <v>712</v>
      </c>
    </row>
    <row r="32" ht="14.25" customHeight="1">
      <c r="B32" s="218" t="s">
        <v>730</v>
      </c>
      <c r="C32" s="246" t="s">
        <v>714</v>
      </c>
      <c r="D32" s="678">
        <f>'OM Raw Material Data'!G$16</f>
        <v>1</v>
      </c>
      <c r="E32" s="678">
        <f>'OM Raw Material Data'!I$16</f>
        <v>0.5</v>
      </c>
      <c r="F32" s="679">
        <f>'OM Raw Material Data'!K$16</f>
        <v>0.1</v>
      </c>
      <c r="H32" s="680">
        <f>(((sum(E20:E32)*(1+'OM Assumptions'!$F$24))*$H26)+'OM Assumptions'!F35)*(D6/H26)</f>
        <v>400805.0308</v>
      </c>
    </row>
    <row r="33" ht="14.25" customHeight="1">
      <c r="E33" s="681" t="s">
        <v>731</v>
      </c>
      <c r="F33" s="682">
        <f>IF(H23&gt;10000,SUM(F20:F32),IF(H23&lt;1000,SUM(D20:D32),SUM(E20:E32)))</f>
        <v>6.69</v>
      </c>
    </row>
    <row r="34" ht="14.25" customHeight="1">
      <c r="E34" s="56" t="s">
        <v>732</v>
      </c>
      <c r="F34" s="683">
        <f>'OM Assumptions'!$F$24*F33</f>
        <v>0.669</v>
      </c>
    </row>
    <row r="35" ht="14.25" customHeight="1"/>
    <row r="36" ht="14.25" customHeight="1">
      <c r="B36" s="237" t="s">
        <v>733</v>
      </c>
    </row>
    <row r="37" ht="14.25" customHeight="1">
      <c r="B37" s="56" t="s">
        <v>707</v>
      </c>
      <c r="C37" s="57" t="s">
        <v>639</v>
      </c>
      <c r="D37" s="475" t="s">
        <v>708</v>
      </c>
      <c r="E37" s="475" t="s">
        <v>709</v>
      </c>
      <c r="F37" s="476" t="s">
        <v>710</v>
      </c>
      <c r="H37" s="188" t="s">
        <v>711</v>
      </c>
    </row>
    <row r="38" ht="14.25" customHeight="1">
      <c r="B38" s="225" t="s">
        <v>713</v>
      </c>
      <c r="C38" s="664" t="s">
        <v>714</v>
      </c>
      <c r="D38" s="684">
        <f>'OM Raw Material Data'!G$4</f>
        <v>1.47</v>
      </c>
      <c r="E38" s="685">
        <f>'OM Raw Material Data'!I$4</f>
        <v>0.85</v>
      </c>
      <c r="F38" s="686">
        <f>'OM Raw Material Data'!K$4</f>
        <v>0.85</v>
      </c>
      <c r="H38" s="668">
        <f>H20+'OM Assumptions'!C16</f>
        <v>6</v>
      </c>
    </row>
    <row r="39" ht="14.25" customHeight="1">
      <c r="B39" s="216" t="s">
        <v>716</v>
      </c>
      <c r="C39" s="242" t="s">
        <v>714</v>
      </c>
      <c r="D39" s="687">
        <f>'OM Raw Material Data'!G$5</f>
        <v>0.88</v>
      </c>
      <c r="E39" s="687">
        <f>'OM Raw Material Data'!I$5</f>
        <v>0.8</v>
      </c>
      <c r="F39" s="688">
        <f>'OM Raw Material Data'!K$5</f>
        <v>0.68</v>
      </c>
    </row>
    <row r="40" ht="14.25" customHeight="1">
      <c r="B40" s="216" t="s">
        <v>718</v>
      </c>
      <c r="C40" s="242" t="s">
        <v>714</v>
      </c>
      <c r="D40" s="687">
        <f>'OM Raw Material Data'!G$6</f>
        <v>1.8</v>
      </c>
      <c r="E40" s="687">
        <f>'OM Raw Material Data'!I$6</f>
        <v>1.8</v>
      </c>
      <c r="F40" s="688">
        <f>'OM Raw Material Data'!K$6</f>
        <v>1.8</v>
      </c>
      <c r="H40" s="188" t="s">
        <v>719</v>
      </c>
    </row>
    <row r="41" ht="14.25" customHeight="1">
      <c r="B41" s="216" t="s">
        <v>720</v>
      </c>
      <c r="C41" s="242" t="s">
        <v>714</v>
      </c>
      <c r="D41" s="687">
        <f>'OM Raw Material Data'!G$7</f>
        <v>1.5</v>
      </c>
      <c r="E41" s="687">
        <f>'OM Raw Material Data'!I$7</f>
        <v>1.5</v>
      </c>
      <c r="F41" s="688">
        <f>'OM Raw Material Data'!K$7</f>
        <v>1.5</v>
      </c>
      <c r="H41" s="668">
        <f>E6/H38</f>
        <v>13534.07163</v>
      </c>
    </row>
    <row r="42" ht="14.25" customHeight="1">
      <c r="B42" s="216" t="s">
        <v>721</v>
      </c>
      <c r="C42" s="242" t="s">
        <v>714</v>
      </c>
      <c r="D42" s="687">
        <f>'OM Raw Material Data'!G$8</f>
        <v>0.35</v>
      </c>
      <c r="E42" s="687">
        <f>'OM Raw Material Data'!I$8</f>
        <v>0.22</v>
      </c>
      <c r="F42" s="688">
        <f>'OM Raw Material Data'!K$8</f>
        <v>0.09</v>
      </c>
    </row>
    <row r="43" ht="14.25" customHeight="1">
      <c r="B43" s="216" t="s">
        <v>722</v>
      </c>
      <c r="C43" s="242" t="s">
        <v>714</v>
      </c>
      <c r="D43" s="687">
        <f>'OM Raw Material Data'!G$9</f>
        <v>0.8</v>
      </c>
      <c r="E43" s="687">
        <f>'OM Raw Material Data'!I$9</f>
        <v>0.6</v>
      </c>
      <c r="F43" s="688">
        <f>'OM Raw Material Data'!K$9</f>
        <v>0.6</v>
      </c>
      <c r="H43" s="188" t="s">
        <v>717</v>
      </c>
    </row>
    <row r="44" ht="14.25" customHeight="1">
      <c r="B44" s="216" t="s">
        <v>656</v>
      </c>
      <c r="C44" s="242" t="s">
        <v>714</v>
      </c>
      <c r="D44" s="687">
        <f>'OM Raw Material Data'!G$10</f>
        <v>0.5</v>
      </c>
      <c r="E44" s="687">
        <f>'OM Raw Material Data'!I$10</f>
        <v>0.3</v>
      </c>
      <c r="F44" s="688">
        <f>'OM Raw Material Data'!K$10</f>
        <v>0.1</v>
      </c>
      <c r="H44" s="668">
        <f>'OM Inventory'!J14</f>
        <v>1799</v>
      </c>
    </row>
    <row r="45" ht="14.25" customHeight="1">
      <c r="B45" s="216" t="s">
        <v>723</v>
      </c>
      <c r="C45" s="242" t="s">
        <v>714</v>
      </c>
      <c r="D45" s="687">
        <f>'OM Raw Material Data'!G$11</f>
        <v>0.09</v>
      </c>
      <c r="E45" s="687">
        <f>'OM Raw Material Data'!I$11</f>
        <v>0.075</v>
      </c>
      <c r="F45" s="688">
        <f>'OM Raw Material Data'!K$11</f>
        <v>0.065</v>
      </c>
    </row>
    <row r="46" ht="14.25" customHeight="1">
      <c r="B46" s="216" t="s">
        <v>724</v>
      </c>
      <c r="C46" s="242" t="s">
        <v>714</v>
      </c>
      <c r="D46" s="687">
        <f>'OM Raw Material Data'!G$12</f>
        <v>0.32</v>
      </c>
      <c r="E46" s="687">
        <f>'OM Raw Material Data'!I$12</f>
        <v>0.25</v>
      </c>
      <c r="F46" s="688">
        <f>'OM Raw Material Data'!K$12</f>
        <v>0.11</v>
      </c>
      <c r="H46" s="675" t="s">
        <v>725</v>
      </c>
    </row>
    <row r="47" ht="14.25" customHeight="1">
      <c r="B47" s="216" t="s">
        <v>726</v>
      </c>
      <c r="C47" s="242" t="s">
        <v>714</v>
      </c>
      <c r="D47" s="687">
        <f>'OM Raw Material Data'!G$13</f>
        <v>0.24</v>
      </c>
      <c r="E47" s="687">
        <f>'OM Raw Material Data'!I$13</f>
        <v>0.24</v>
      </c>
      <c r="F47" s="688">
        <f>'OM Raw Material Data'!K$13</f>
        <v>0.24</v>
      </c>
      <c r="H47" s="676">
        <f>($H41*($F51+$F52)+'OM Assumptions'!$F$35)*$H38</f>
        <v>597823.3986</v>
      </c>
    </row>
    <row r="48" ht="14.25" customHeight="1">
      <c r="B48" s="216" t="s">
        <v>727</v>
      </c>
      <c r="C48" s="242" t="s">
        <v>728</v>
      </c>
      <c r="D48" s="687">
        <f>'OM Raw Material Data'!G$14</f>
        <v>0.21</v>
      </c>
      <c r="E48" s="687">
        <f>'OM Raw Material Data'!I$14</f>
        <v>0.18</v>
      </c>
      <c r="F48" s="688">
        <f>'OM Raw Material Data'!K$14</f>
        <v>0.18</v>
      </c>
    </row>
    <row r="49" ht="14.25" customHeight="1">
      <c r="B49" s="216" t="s">
        <v>729</v>
      </c>
      <c r="C49" s="242" t="s">
        <v>649</v>
      </c>
      <c r="D49" s="687">
        <f>'OM Raw Material Data'!G$15</f>
        <v>0.375</v>
      </c>
      <c r="E49" s="687">
        <f>'OM Raw Material Data'!I$15</f>
        <v>0.375</v>
      </c>
      <c r="F49" s="688">
        <f>'OM Raw Material Data'!K$15</f>
        <v>0.375</v>
      </c>
      <c r="H49" s="677" t="s">
        <v>712</v>
      </c>
    </row>
    <row r="50" ht="14.25" customHeight="1">
      <c r="B50" s="218" t="s">
        <v>730</v>
      </c>
      <c r="C50" s="246" t="s">
        <v>714</v>
      </c>
      <c r="D50" s="689">
        <f>'OM Raw Material Data'!G$16</f>
        <v>1</v>
      </c>
      <c r="E50" s="689">
        <f>'OM Raw Material Data'!I$16</f>
        <v>0.5</v>
      </c>
      <c r="F50" s="690">
        <f>'OM Raw Material Data'!K$16</f>
        <v>0.1</v>
      </c>
      <c r="H50" s="680">
        <f>(((sum(E38:E50)*(1+'OM Assumptions'!$F$24))*$H44)+'OM Assumptions'!F35)*(E6/$H44)</f>
        <v>688713.8172</v>
      </c>
    </row>
    <row r="51" ht="14.25" customHeight="1">
      <c r="E51" s="342" t="s">
        <v>731</v>
      </c>
      <c r="F51" s="343">
        <f>IF(H41&gt;10000,SUM(F38:F50),IF(H41&lt;1000,SUM(D38:D50),SUM(E38:E50)))</f>
        <v>6.69</v>
      </c>
    </row>
    <row r="52" ht="14.25" customHeight="1">
      <c r="E52" s="56" t="s">
        <v>732</v>
      </c>
      <c r="F52" s="683">
        <f>'OM Assumptions'!$F$24*F51</f>
        <v>0.669</v>
      </c>
    </row>
    <row r="53" ht="14.25" customHeight="1">
      <c r="B53" s="237" t="s">
        <v>734</v>
      </c>
    </row>
    <row r="54" ht="14.25" customHeight="1">
      <c r="B54" s="56" t="s">
        <v>707</v>
      </c>
      <c r="C54" s="57" t="s">
        <v>639</v>
      </c>
      <c r="D54" s="475" t="s">
        <v>708</v>
      </c>
      <c r="E54" s="475" t="s">
        <v>709</v>
      </c>
      <c r="F54" s="476" t="s">
        <v>710</v>
      </c>
      <c r="H54" s="188" t="s">
        <v>711</v>
      </c>
    </row>
    <row r="55" ht="14.25" customHeight="1">
      <c r="B55" s="225" t="s">
        <v>713</v>
      </c>
      <c r="C55" s="664" t="s">
        <v>714</v>
      </c>
      <c r="D55" s="684">
        <f>'OM Raw Material Data'!G$4</f>
        <v>1.47</v>
      </c>
      <c r="E55" s="685">
        <f>'OM Raw Material Data'!I$4</f>
        <v>0.85</v>
      </c>
      <c r="F55" s="686">
        <f>'OM Raw Material Data'!K$4</f>
        <v>0.85</v>
      </c>
      <c r="H55" s="668">
        <f>H38+'OM Assumptions'!C16</f>
        <v>8</v>
      </c>
    </row>
    <row r="56" ht="14.25" customHeight="1">
      <c r="B56" s="216" t="s">
        <v>716</v>
      </c>
      <c r="C56" s="242" t="s">
        <v>714</v>
      </c>
      <c r="D56" s="687">
        <f>'OM Raw Material Data'!G$5</f>
        <v>0.88</v>
      </c>
      <c r="E56" s="687">
        <f>'OM Raw Material Data'!I$5</f>
        <v>0.8</v>
      </c>
      <c r="F56" s="688">
        <f>'OM Raw Material Data'!K$5</f>
        <v>0.68</v>
      </c>
    </row>
    <row r="57" ht="14.25" customHeight="1">
      <c r="B57" s="216" t="s">
        <v>718</v>
      </c>
      <c r="C57" s="242" t="s">
        <v>714</v>
      </c>
      <c r="D57" s="687">
        <f>'OM Raw Material Data'!G$6</f>
        <v>1.8</v>
      </c>
      <c r="E57" s="687">
        <f>'OM Raw Material Data'!I$6</f>
        <v>1.8</v>
      </c>
      <c r="F57" s="688">
        <f>'OM Raw Material Data'!K$6</f>
        <v>1.8</v>
      </c>
      <c r="H57" s="188" t="s">
        <v>719</v>
      </c>
    </row>
    <row r="58" ht="14.25" customHeight="1">
      <c r="B58" s="216" t="s">
        <v>720</v>
      </c>
      <c r="C58" s="242" t="s">
        <v>714</v>
      </c>
      <c r="D58" s="687">
        <f>'OM Raw Material Data'!G$7</f>
        <v>1.5</v>
      </c>
      <c r="E58" s="687">
        <f>'OM Raw Material Data'!I$7</f>
        <v>1.5</v>
      </c>
      <c r="F58" s="688">
        <f>'OM Raw Material Data'!K$7</f>
        <v>1.5</v>
      </c>
      <c r="H58" s="668">
        <f>F6/H55</f>
        <v>13220.4417</v>
      </c>
    </row>
    <row r="59" ht="14.25" customHeight="1">
      <c r="B59" s="216" t="s">
        <v>721</v>
      </c>
      <c r="C59" s="242" t="s">
        <v>714</v>
      </c>
      <c r="D59" s="687">
        <f>'OM Raw Material Data'!G$8</f>
        <v>0.35</v>
      </c>
      <c r="E59" s="687">
        <f>'OM Raw Material Data'!I$8</f>
        <v>0.22</v>
      </c>
      <c r="F59" s="688">
        <f>'OM Raw Material Data'!K$8</f>
        <v>0.09</v>
      </c>
    </row>
    <row r="60" ht="14.25" customHeight="1">
      <c r="B60" s="216" t="s">
        <v>722</v>
      </c>
      <c r="C60" s="242" t="s">
        <v>714</v>
      </c>
      <c r="D60" s="687">
        <f>'OM Raw Material Data'!G$9</f>
        <v>0.8</v>
      </c>
      <c r="E60" s="687">
        <f>'OM Raw Material Data'!I$9</f>
        <v>0.6</v>
      </c>
      <c r="F60" s="688">
        <f>'OM Raw Material Data'!K$9</f>
        <v>0.6</v>
      </c>
      <c r="H60" s="188" t="s">
        <v>717</v>
      </c>
    </row>
    <row r="61" ht="14.25" customHeight="1">
      <c r="B61" s="216" t="s">
        <v>656</v>
      </c>
      <c r="C61" s="242" t="s">
        <v>714</v>
      </c>
      <c r="D61" s="687">
        <f>'OM Raw Material Data'!G$10</f>
        <v>0.5</v>
      </c>
      <c r="E61" s="687">
        <f>'OM Raw Material Data'!I$10</f>
        <v>0.3</v>
      </c>
      <c r="F61" s="688">
        <f>'OM Raw Material Data'!K$10</f>
        <v>0.1</v>
      </c>
      <c r="H61" s="668">
        <f>'OM Inventory'!J21</f>
        <v>2053</v>
      </c>
    </row>
    <row r="62" ht="14.25" customHeight="1">
      <c r="B62" s="216" t="s">
        <v>723</v>
      </c>
      <c r="C62" s="242" t="s">
        <v>714</v>
      </c>
      <c r="D62" s="687">
        <f>'OM Raw Material Data'!G$11</f>
        <v>0.09</v>
      </c>
      <c r="E62" s="687">
        <f>'OM Raw Material Data'!I$11</f>
        <v>0.075</v>
      </c>
      <c r="F62" s="688">
        <f>'OM Raw Material Data'!K$11</f>
        <v>0.065</v>
      </c>
    </row>
    <row r="63" ht="14.25" customHeight="1">
      <c r="B63" s="216" t="s">
        <v>724</v>
      </c>
      <c r="C63" s="242" t="s">
        <v>714</v>
      </c>
      <c r="D63" s="687">
        <f>'OM Raw Material Data'!G$12</f>
        <v>0.32</v>
      </c>
      <c r="E63" s="687">
        <f>'OM Raw Material Data'!I$12</f>
        <v>0.25</v>
      </c>
      <c r="F63" s="688">
        <f>'OM Raw Material Data'!K$12</f>
        <v>0.11</v>
      </c>
      <c r="H63" s="675" t="s">
        <v>725</v>
      </c>
    </row>
    <row r="64" ht="14.25" customHeight="1">
      <c r="B64" s="216" t="s">
        <v>726</v>
      </c>
      <c r="C64" s="242" t="s">
        <v>714</v>
      </c>
      <c r="D64" s="687">
        <f>'OM Raw Material Data'!G$13</f>
        <v>0.24</v>
      </c>
      <c r="E64" s="687">
        <f>'OM Raw Material Data'!I$13</f>
        <v>0.24</v>
      </c>
      <c r="F64" s="688">
        <f>'OM Raw Material Data'!K$13</f>
        <v>0.24</v>
      </c>
      <c r="H64" s="676">
        <f>($H58*($F68+$F69)+'OM Assumptions'!$F$35)*$H55</f>
        <v>778633.8435</v>
      </c>
    </row>
    <row r="65" ht="14.25" customHeight="1">
      <c r="B65" s="216" t="s">
        <v>727</v>
      </c>
      <c r="C65" s="242" t="s">
        <v>728</v>
      </c>
      <c r="D65" s="687">
        <f>'OM Raw Material Data'!G$14</f>
        <v>0.21</v>
      </c>
      <c r="E65" s="687">
        <f>'OM Raw Material Data'!I$14</f>
        <v>0.18</v>
      </c>
      <c r="F65" s="688">
        <f>'OM Raw Material Data'!K$14</f>
        <v>0.18</v>
      </c>
    </row>
    <row r="66" ht="14.25" customHeight="1">
      <c r="B66" s="216" t="s">
        <v>729</v>
      </c>
      <c r="C66" s="242" t="s">
        <v>649</v>
      </c>
      <c r="D66" s="687">
        <f>'OM Raw Material Data'!G$15</f>
        <v>0.375</v>
      </c>
      <c r="E66" s="687">
        <f>'OM Raw Material Data'!I$15</f>
        <v>0.375</v>
      </c>
      <c r="F66" s="688">
        <f>'OM Raw Material Data'!K$15</f>
        <v>0.375</v>
      </c>
      <c r="H66" s="677" t="s">
        <v>712</v>
      </c>
    </row>
    <row r="67" ht="14.25" customHeight="1">
      <c r="B67" s="218" t="s">
        <v>730</v>
      </c>
      <c r="C67" s="246" t="s">
        <v>714</v>
      </c>
      <c r="D67" s="689">
        <f>'OM Raw Material Data'!G$16</f>
        <v>1</v>
      </c>
      <c r="E67" s="689">
        <f>'OM Raw Material Data'!I$16</f>
        <v>0.5</v>
      </c>
      <c r="F67" s="690">
        <f>'OM Raw Material Data'!K$16</f>
        <v>0.1</v>
      </c>
      <c r="H67" s="680">
        <f>(((sum(E55:E67)*(1+'OM Assumptions'!$F$24))*$H61)+'OM Assumptions'!F52)*(F6/$H61)</f>
        <v>894653.7304</v>
      </c>
    </row>
    <row r="68" ht="14.25" customHeight="1">
      <c r="E68" s="53" t="s">
        <v>731</v>
      </c>
      <c r="F68" s="691">
        <f>IF(H58&gt;10000,SUM(F55:F67),IF(H58&lt;1000,SUM(D55:D67),SUM(E55:E67)))</f>
        <v>6.69</v>
      </c>
    </row>
    <row r="69" ht="14.25" customHeight="1">
      <c r="E69" s="56" t="s">
        <v>732</v>
      </c>
      <c r="F69" s="683">
        <f>'OM Assumptions'!$F$24*F68</f>
        <v>0.669</v>
      </c>
    </row>
    <row r="70" ht="14.25" customHeight="1">
      <c r="B70" s="237" t="s">
        <v>735</v>
      </c>
    </row>
    <row r="71" ht="14.25" customHeight="1">
      <c r="B71" s="56" t="s">
        <v>707</v>
      </c>
      <c r="C71" s="57" t="s">
        <v>639</v>
      </c>
      <c r="D71" s="475" t="s">
        <v>708</v>
      </c>
      <c r="E71" s="475" t="s">
        <v>709</v>
      </c>
      <c r="F71" s="476" t="s">
        <v>710</v>
      </c>
      <c r="H71" s="188" t="s">
        <v>711</v>
      </c>
    </row>
    <row r="72" ht="14.25" customHeight="1">
      <c r="B72" s="225" t="s">
        <v>713</v>
      </c>
      <c r="C72" s="664" t="s">
        <v>714</v>
      </c>
      <c r="D72" s="684">
        <f>'OM Raw Material Data'!G$4</f>
        <v>1.47</v>
      </c>
      <c r="E72" s="685">
        <f>'OM Raw Material Data'!I$4</f>
        <v>0.85</v>
      </c>
      <c r="F72" s="686">
        <f>'OM Raw Material Data'!K$4</f>
        <v>0.85</v>
      </c>
      <c r="H72" s="668">
        <f>H55+'OM Assumptions'!C16</f>
        <v>10</v>
      </c>
    </row>
    <row r="73" ht="14.25" customHeight="1">
      <c r="B73" s="216" t="s">
        <v>716</v>
      </c>
      <c r="C73" s="242" t="s">
        <v>714</v>
      </c>
      <c r="D73" s="687">
        <f>'OM Raw Material Data'!G$5</f>
        <v>0.88</v>
      </c>
      <c r="E73" s="687">
        <f>'OM Raw Material Data'!I$5</f>
        <v>0.8</v>
      </c>
      <c r="F73" s="688">
        <f>'OM Raw Material Data'!K$5</f>
        <v>0.68</v>
      </c>
    </row>
    <row r="74" ht="14.25" customHeight="1">
      <c r="B74" s="216" t="s">
        <v>718</v>
      </c>
      <c r="C74" s="242" t="s">
        <v>714</v>
      </c>
      <c r="D74" s="687">
        <f>'OM Raw Material Data'!G$6</f>
        <v>1.8</v>
      </c>
      <c r="E74" s="687">
        <f>'OM Raw Material Data'!I$6</f>
        <v>1.8</v>
      </c>
      <c r="F74" s="688">
        <f>'OM Raw Material Data'!K$6</f>
        <v>1.8</v>
      </c>
      <c r="H74" s="188" t="s">
        <v>719</v>
      </c>
    </row>
    <row r="75" ht="14.25" customHeight="1">
      <c r="B75" s="216" t="s">
        <v>720</v>
      </c>
      <c r="C75" s="242" t="s">
        <v>714</v>
      </c>
      <c r="D75" s="687">
        <f>'OM Raw Material Data'!G$7</f>
        <v>1.5</v>
      </c>
      <c r="E75" s="687">
        <f>'OM Raw Material Data'!I$7</f>
        <v>1.5</v>
      </c>
      <c r="F75" s="688">
        <f>'OM Raw Material Data'!K$7</f>
        <v>1.5</v>
      </c>
      <c r="H75" s="668">
        <f>G6/H72</f>
        <v>15947.2438</v>
      </c>
    </row>
    <row r="76" ht="14.25" customHeight="1">
      <c r="B76" s="216" t="s">
        <v>721</v>
      </c>
      <c r="C76" s="242" t="s">
        <v>714</v>
      </c>
      <c r="D76" s="687">
        <f>'OM Raw Material Data'!G$8</f>
        <v>0.35</v>
      </c>
      <c r="E76" s="687">
        <f>'OM Raw Material Data'!I$8</f>
        <v>0.22</v>
      </c>
      <c r="F76" s="688">
        <f>'OM Raw Material Data'!K$8</f>
        <v>0.09</v>
      </c>
    </row>
    <row r="77" ht="14.25" customHeight="1">
      <c r="B77" s="216" t="s">
        <v>722</v>
      </c>
      <c r="C77" s="242" t="s">
        <v>714</v>
      </c>
      <c r="D77" s="687">
        <f>'OM Raw Material Data'!G$9</f>
        <v>0.8</v>
      </c>
      <c r="E77" s="687">
        <f>'OM Raw Material Data'!I$9</f>
        <v>0.6</v>
      </c>
      <c r="F77" s="688">
        <f>'OM Raw Material Data'!K$9</f>
        <v>0.6</v>
      </c>
      <c r="H77" s="188" t="s">
        <v>717</v>
      </c>
    </row>
    <row r="78" ht="14.25" customHeight="1">
      <c r="B78" s="216" t="s">
        <v>656</v>
      </c>
      <c r="C78" s="242" t="s">
        <v>714</v>
      </c>
      <c r="D78" s="687">
        <f>'OM Raw Material Data'!G$10</f>
        <v>0.5</v>
      </c>
      <c r="E78" s="687">
        <f>'OM Raw Material Data'!I$10</f>
        <v>0.3</v>
      </c>
      <c r="F78" s="688">
        <f>'OM Raw Material Data'!K$10</f>
        <v>0.1</v>
      </c>
      <c r="H78" s="668">
        <f>'OM Inventory'!J28</f>
        <v>2521</v>
      </c>
    </row>
    <row r="79" ht="14.25" customHeight="1">
      <c r="B79" s="216" t="s">
        <v>723</v>
      </c>
      <c r="C79" s="242" t="s">
        <v>714</v>
      </c>
      <c r="D79" s="687">
        <f>'OM Raw Material Data'!G$11</f>
        <v>0.09</v>
      </c>
      <c r="E79" s="687">
        <f>'OM Raw Material Data'!I$11</f>
        <v>0.075</v>
      </c>
      <c r="F79" s="688">
        <f>'OM Raw Material Data'!K$11</f>
        <v>0.065</v>
      </c>
    </row>
    <row r="80" ht="14.25" customHeight="1">
      <c r="B80" s="216" t="s">
        <v>724</v>
      </c>
      <c r="C80" s="242" t="s">
        <v>714</v>
      </c>
      <c r="D80" s="687">
        <f>'OM Raw Material Data'!G$12</f>
        <v>0.32</v>
      </c>
      <c r="E80" s="687">
        <f>'OM Raw Material Data'!I$12</f>
        <v>0.25</v>
      </c>
      <c r="F80" s="688">
        <f>'OM Raw Material Data'!K$12</f>
        <v>0.11</v>
      </c>
      <c r="H80" s="675" t="s">
        <v>725</v>
      </c>
    </row>
    <row r="81" ht="14.25" customHeight="1">
      <c r="B81" s="216" t="s">
        <v>726</v>
      </c>
      <c r="C81" s="242" t="s">
        <v>714</v>
      </c>
      <c r="D81" s="687">
        <f>'OM Raw Material Data'!G$13</f>
        <v>0.24</v>
      </c>
      <c r="E81" s="687">
        <f>'OM Raw Material Data'!I$13</f>
        <v>0.24</v>
      </c>
      <c r="F81" s="688">
        <f>'OM Raw Material Data'!K$13</f>
        <v>0.24</v>
      </c>
      <c r="H81" s="676">
        <f>($H75*($F85+$F86)+'OM Assumptions'!$F$35)*$H72</f>
        <v>1173957.671</v>
      </c>
    </row>
    <row r="82" ht="14.25" customHeight="1">
      <c r="B82" s="216" t="s">
        <v>727</v>
      </c>
      <c r="C82" s="242" t="s">
        <v>728</v>
      </c>
      <c r="D82" s="687">
        <f>'OM Raw Material Data'!G$14</f>
        <v>0.21</v>
      </c>
      <c r="E82" s="687">
        <f>'OM Raw Material Data'!I$14</f>
        <v>0.18</v>
      </c>
      <c r="F82" s="688">
        <f>'OM Raw Material Data'!K$14</f>
        <v>0.18</v>
      </c>
    </row>
    <row r="83" ht="14.25" customHeight="1">
      <c r="B83" s="216" t="s">
        <v>729</v>
      </c>
      <c r="C83" s="242" t="s">
        <v>649</v>
      </c>
      <c r="D83" s="687">
        <f>'OM Raw Material Data'!G$15</f>
        <v>0.375</v>
      </c>
      <c r="E83" s="687">
        <f>'OM Raw Material Data'!I$15</f>
        <v>0.375</v>
      </c>
      <c r="F83" s="688">
        <f>'OM Raw Material Data'!K$15</f>
        <v>0.375</v>
      </c>
      <c r="H83" s="677" t="s">
        <v>712</v>
      </c>
    </row>
    <row r="84" ht="14.25" customHeight="1">
      <c r="B84" s="218" t="s">
        <v>730</v>
      </c>
      <c r="C84" s="246" t="s">
        <v>714</v>
      </c>
      <c r="D84" s="689">
        <f>'OM Raw Material Data'!G$16</f>
        <v>1</v>
      </c>
      <c r="E84" s="689">
        <f>'OM Raw Material Data'!I$16</f>
        <v>0.5</v>
      </c>
      <c r="F84" s="690">
        <f>'OM Raw Material Data'!K$16</f>
        <v>0.1</v>
      </c>
      <c r="H84" s="680">
        <f>(((sum(E72:E84)*(1+'OM Assumptions'!$F$24))*$H78)+'OM Assumptions'!F69)*(G6/$H78)</f>
        <v>1348977.353</v>
      </c>
    </row>
    <row r="85" ht="14.25" customHeight="1">
      <c r="E85" s="53" t="s">
        <v>731</v>
      </c>
      <c r="F85" s="691">
        <f>IF(H75&gt;10000,SUM(F72:F84),IF(H75&lt;1000,SUM(D72:D84),SUM(E72:E84)))</f>
        <v>6.69</v>
      </c>
    </row>
    <row r="86" ht="14.25" customHeight="1">
      <c r="E86" s="56" t="s">
        <v>732</v>
      </c>
      <c r="F86" s="683">
        <f>'OM Assumptions'!$F$24*F85</f>
        <v>0.669</v>
      </c>
    </row>
    <row r="87" ht="14.25" customHeight="1">
      <c r="B87" s="237" t="s">
        <v>736</v>
      </c>
    </row>
    <row r="88" ht="14.25" customHeight="1">
      <c r="B88" s="56" t="s">
        <v>707</v>
      </c>
      <c r="C88" s="57" t="s">
        <v>639</v>
      </c>
      <c r="D88" s="475" t="s">
        <v>708</v>
      </c>
      <c r="E88" s="475" t="s">
        <v>709</v>
      </c>
      <c r="F88" s="476" t="s">
        <v>710</v>
      </c>
      <c r="H88" s="188" t="s">
        <v>711</v>
      </c>
    </row>
    <row r="89" ht="14.25" customHeight="1">
      <c r="B89" s="225" t="s">
        <v>713</v>
      </c>
      <c r="C89" s="664" t="s">
        <v>714</v>
      </c>
      <c r="D89" s="684">
        <f>'OM Raw Material Data'!G$4</f>
        <v>1.47</v>
      </c>
      <c r="E89" s="685">
        <f>'OM Raw Material Data'!I$4</f>
        <v>0.85</v>
      </c>
      <c r="F89" s="686">
        <f>'OM Raw Material Data'!K$4</f>
        <v>0.85</v>
      </c>
      <c r="H89" s="668">
        <v>23.0</v>
      </c>
    </row>
    <row r="90" ht="14.25" customHeight="1">
      <c r="B90" s="216" t="s">
        <v>716</v>
      </c>
      <c r="C90" s="242" t="s">
        <v>714</v>
      </c>
      <c r="D90" s="687">
        <f>'OM Raw Material Data'!G$5</f>
        <v>0.88</v>
      </c>
      <c r="E90" s="687">
        <f>'OM Raw Material Data'!I$5</f>
        <v>0.8</v>
      </c>
      <c r="F90" s="688">
        <f>'OM Raw Material Data'!K$5</f>
        <v>0.68</v>
      </c>
    </row>
    <row r="91" ht="14.25" customHeight="1">
      <c r="B91" s="216" t="s">
        <v>718</v>
      </c>
      <c r="C91" s="242" t="s">
        <v>714</v>
      </c>
      <c r="D91" s="687">
        <f>'OM Raw Material Data'!G$6</f>
        <v>1.8</v>
      </c>
      <c r="E91" s="687">
        <f>'OM Raw Material Data'!I$6</f>
        <v>1.8</v>
      </c>
      <c r="F91" s="688">
        <f>'OM Raw Material Data'!K$6</f>
        <v>1.8</v>
      </c>
      <c r="H91" s="188" t="s">
        <v>719</v>
      </c>
    </row>
    <row r="92" ht="14.25" customHeight="1">
      <c r="B92" s="216" t="s">
        <v>720</v>
      </c>
      <c r="C92" s="242" t="s">
        <v>714</v>
      </c>
      <c r="D92" s="687">
        <f>'OM Raw Material Data'!G$7</f>
        <v>1.5</v>
      </c>
      <c r="E92" s="687">
        <f>'OM Raw Material Data'!I$7</f>
        <v>1.5</v>
      </c>
      <c r="F92" s="688">
        <f>'OM Raw Material Data'!K$7</f>
        <v>1.5</v>
      </c>
      <c r="H92" s="668">
        <f>H6/H89</f>
        <v>10379.4217</v>
      </c>
    </row>
    <row r="93" ht="14.25" customHeight="1">
      <c r="B93" s="216" t="s">
        <v>721</v>
      </c>
      <c r="C93" s="242" t="s">
        <v>714</v>
      </c>
      <c r="D93" s="687">
        <f>'OM Raw Material Data'!G$8</f>
        <v>0.35</v>
      </c>
      <c r="E93" s="687">
        <f>'OM Raw Material Data'!I$8</f>
        <v>0.22</v>
      </c>
      <c r="F93" s="688">
        <f>'OM Raw Material Data'!K$8</f>
        <v>0.09</v>
      </c>
    </row>
    <row r="94" ht="14.25" customHeight="1">
      <c r="B94" s="216" t="s">
        <v>722</v>
      </c>
      <c r="C94" s="242" t="s">
        <v>714</v>
      </c>
      <c r="D94" s="687">
        <f>'OM Raw Material Data'!G$9</f>
        <v>0.8</v>
      </c>
      <c r="E94" s="687">
        <f>'OM Raw Material Data'!I$9</f>
        <v>0.6</v>
      </c>
      <c r="F94" s="688">
        <f>'OM Raw Material Data'!K$9</f>
        <v>0.6</v>
      </c>
      <c r="H94" s="188" t="s">
        <v>717</v>
      </c>
    </row>
    <row r="95" ht="14.25" customHeight="1">
      <c r="B95" s="216" t="s">
        <v>656</v>
      </c>
      <c r="C95" s="242" t="s">
        <v>714</v>
      </c>
      <c r="D95" s="687">
        <f>'OM Raw Material Data'!G$10</f>
        <v>0.5</v>
      </c>
      <c r="E95" s="687">
        <f>'OM Raw Material Data'!I$10</f>
        <v>0.3</v>
      </c>
      <c r="F95" s="688">
        <f>'OM Raw Material Data'!K$10</f>
        <v>0.1</v>
      </c>
      <c r="H95" s="668">
        <f>'OM Inventory'!J35</f>
        <v>3085</v>
      </c>
    </row>
    <row r="96" ht="14.25" customHeight="1">
      <c r="B96" s="216" t="s">
        <v>723</v>
      </c>
      <c r="C96" s="242" t="s">
        <v>714</v>
      </c>
      <c r="D96" s="687">
        <f>'OM Raw Material Data'!G$11</f>
        <v>0.09</v>
      </c>
      <c r="E96" s="687">
        <f>'OM Raw Material Data'!I$11</f>
        <v>0.075</v>
      </c>
      <c r="F96" s="688">
        <f>'OM Raw Material Data'!K$11</f>
        <v>0.065</v>
      </c>
    </row>
    <row r="97" ht="14.25" customHeight="1">
      <c r="B97" s="216" t="s">
        <v>724</v>
      </c>
      <c r="C97" s="242" t="s">
        <v>714</v>
      </c>
      <c r="D97" s="687">
        <f>'OM Raw Material Data'!G$12</f>
        <v>0.32</v>
      </c>
      <c r="E97" s="687">
        <f>'OM Raw Material Data'!I$12</f>
        <v>0.25</v>
      </c>
      <c r="F97" s="688">
        <f>'OM Raw Material Data'!K$12</f>
        <v>0.11</v>
      </c>
      <c r="H97" s="675" t="s">
        <v>725</v>
      </c>
    </row>
    <row r="98" ht="14.25" customHeight="1">
      <c r="B98" s="216" t="s">
        <v>726</v>
      </c>
      <c r="C98" s="242" t="s">
        <v>714</v>
      </c>
      <c r="D98" s="687">
        <f>'OM Raw Material Data'!G$13</f>
        <v>0.24</v>
      </c>
      <c r="E98" s="687">
        <f>'OM Raw Material Data'!I$13</f>
        <v>0.24</v>
      </c>
      <c r="F98" s="688">
        <f>'OM Raw Material Data'!K$13</f>
        <v>0.24</v>
      </c>
      <c r="H98" s="676">
        <f>($H92*($F102+$F103)+'OM Assumptions'!$F$35)*$H89</f>
        <v>1757709.778</v>
      </c>
    </row>
    <row r="99" ht="14.25" customHeight="1">
      <c r="B99" s="216" t="s">
        <v>727</v>
      </c>
      <c r="C99" s="242" t="s">
        <v>728</v>
      </c>
      <c r="D99" s="687">
        <f>'OM Raw Material Data'!G$14</f>
        <v>0.21</v>
      </c>
      <c r="E99" s="687">
        <f>'OM Raw Material Data'!I$14</f>
        <v>0.18</v>
      </c>
      <c r="F99" s="688">
        <f>'OM Raw Material Data'!K$14</f>
        <v>0.18</v>
      </c>
    </row>
    <row r="100" ht="14.25" customHeight="1">
      <c r="B100" s="216" t="s">
        <v>729</v>
      </c>
      <c r="C100" s="242" t="s">
        <v>649</v>
      </c>
      <c r="D100" s="687">
        <f>'OM Raw Material Data'!G$15</f>
        <v>0.375</v>
      </c>
      <c r="E100" s="687">
        <f>'OM Raw Material Data'!I$15</f>
        <v>0.375</v>
      </c>
      <c r="F100" s="688">
        <f>'OM Raw Material Data'!K$15</f>
        <v>0.375</v>
      </c>
      <c r="H100" s="677" t="s">
        <v>712</v>
      </c>
    </row>
    <row r="101" ht="14.25" customHeight="1">
      <c r="B101" s="218" t="s">
        <v>730</v>
      </c>
      <c r="C101" s="246" t="s">
        <v>714</v>
      </c>
      <c r="D101" s="689">
        <f>'OM Raw Material Data'!G$16</f>
        <v>1</v>
      </c>
      <c r="E101" s="689">
        <f>'OM Raw Material Data'!I$16</f>
        <v>0.5</v>
      </c>
      <c r="F101" s="690">
        <f>'OM Raw Material Data'!K$16</f>
        <v>0.1</v>
      </c>
      <c r="H101" s="680">
        <f>(((sum(E89:E101)*(1+'OM Assumptions'!$F$24))*$H95)+'OM Assumptions'!F86)*(H6/$H95)</f>
        <v>2019389.147</v>
      </c>
    </row>
    <row r="102" ht="14.25" customHeight="1">
      <c r="E102" s="53" t="s">
        <v>731</v>
      </c>
      <c r="F102" s="692">
        <f>IF(H92&gt;10000,SUM(F89:F101),IF(H92&lt;1000,SUM(D89:D101),SUM(E89:E101)))</f>
        <v>6.69</v>
      </c>
      <c r="H102" s="453" t="s">
        <v>737</v>
      </c>
    </row>
    <row r="103" ht="14.25" customHeight="1">
      <c r="E103" s="56" t="s">
        <v>732</v>
      </c>
      <c r="F103" s="683">
        <f>'OM Assumptions'!$F$24*F102</f>
        <v>0.669</v>
      </c>
      <c r="H103" s="456">
        <v>1.0</v>
      </c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3">
    <mergeCell ref="B2:C2"/>
    <mergeCell ref="B16:C16"/>
    <mergeCell ref="K16:O16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28.63"/>
    <col customWidth="1" min="3" max="3" width="21.88"/>
    <col customWidth="1" min="4" max="4" width="21.75"/>
    <col customWidth="1" min="5" max="5" width="24.13"/>
    <col customWidth="1" min="6" max="6" width="21.75"/>
    <col customWidth="1" min="7" max="7" width="14.25"/>
    <col customWidth="1" min="8" max="8" width="18.88"/>
    <col customWidth="1" min="9" max="9" width="23.5"/>
    <col customWidth="1" min="10" max="11" width="18.88"/>
  </cols>
  <sheetData>
    <row r="2">
      <c r="B2" s="1" t="s">
        <v>738</v>
      </c>
      <c r="C2" s="2"/>
      <c r="D2" s="2"/>
      <c r="E2" s="2"/>
      <c r="F2" s="2"/>
      <c r="G2" s="2"/>
      <c r="H2" s="2"/>
      <c r="I2" s="2"/>
      <c r="J2" s="2"/>
      <c r="K2" s="3"/>
    </row>
    <row r="3"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</row>
    <row r="4">
      <c r="B4" s="693" t="s">
        <v>739</v>
      </c>
      <c r="C4" s="3"/>
      <c r="D4" s="292"/>
      <c r="E4" s="292"/>
      <c r="F4" s="292"/>
    </row>
    <row r="5">
      <c r="B5" s="292"/>
      <c r="C5" s="292"/>
      <c r="D5" s="292"/>
      <c r="E5" s="292"/>
      <c r="F5" s="292"/>
    </row>
    <row r="6">
      <c r="B6" s="364"/>
      <c r="C6" s="56" t="s">
        <v>740</v>
      </c>
      <c r="D6" s="57" t="s">
        <v>741</v>
      </c>
      <c r="E6" s="57" t="s">
        <v>742</v>
      </c>
      <c r="F6" s="58" t="s">
        <v>743</v>
      </c>
      <c r="H6" s="188" t="s">
        <v>744</v>
      </c>
      <c r="I6" s="161"/>
      <c r="J6" s="188" t="s">
        <v>717</v>
      </c>
      <c r="K6" s="161"/>
    </row>
    <row r="7">
      <c r="B7" s="325" t="s">
        <v>745</v>
      </c>
      <c r="C7" s="694">
        <f>'OM Direct Materials &amp; Direct La'!H23/2</f>
        <v>5902.417156</v>
      </c>
      <c r="D7" s="694">
        <f>(H7/365)*'OM Demand and Lead Time'!C24</f>
        <v>2945.610922</v>
      </c>
      <c r="E7" s="694">
        <f>'OM Demand and Lead Time'!E11/2</f>
        <v>454.0320889</v>
      </c>
      <c r="F7" s="694">
        <f t="shared" ref="F7:F8" si="1">SUM(C7:E7)</f>
        <v>9302.060167</v>
      </c>
      <c r="H7" s="668">
        <f>'MK Sales Projections'!C14</f>
        <v>47219.33725</v>
      </c>
      <c r="I7" s="695"/>
      <c r="J7" s="668">
        <f>ROUND(SQRT((2*'MK Sales Projections'!C14*'OM Assumptions'!C17)/('OM Direct Materials &amp; Direct La'!F33*'OM Assumptions'!C20)),0)</f>
        <v>1372</v>
      </c>
    </row>
    <row r="8">
      <c r="B8" s="241" t="s">
        <v>746</v>
      </c>
      <c r="C8" s="694">
        <f>'OM Assumptions'!C19*SQRT(('OM Demand and Lead Time'!C24*('OM Demand and Lead Time'!F11/SQRT(7))^2)+((('OM Demand and Lead Time'!C11/365)^2)*('OM Demand and Lead Time'!D24)^2))</f>
        <v>3253.644582</v>
      </c>
      <c r="D8" s="694" t="s">
        <v>603</v>
      </c>
      <c r="E8" s="694">
        <f>'OM Assumptions'!C19*('OM Demand and Lead Time'!E11/SQRT(7))*SQRT(7)</f>
        <v>1493.632655</v>
      </c>
      <c r="F8" s="694">
        <f t="shared" si="1"/>
        <v>4747.277237</v>
      </c>
      <c r="I8" s="364"/>
    </row>
    <row r="9">
      <c r="B9" s="188" t="s">
        <v>743</v>
      </c>
      <c r="C9" s="696">
        <f t="shared" ref="C9:F9" si="2">SUM(C7:C8)</f>
        <v>9156.061738</v>
      </c>
      <c r="D9" s="696">
        <f t="shared" si="2"/>
        <v>2945.610922</v>
      </c>
      <c r="E9" s="696">
        <f t="shared" si="2"/>
        <v>1947.664744</v>
      </c>
      <c r="F9" s="696">
        <f t="shared" si="2"/>
        <v>14049.3374</v>
      </c>
      <c r="I9" s="364"/>
    </row>
    <row r="10">
      <c r="I10" s="364"/>
    </row>
    <row r="11">
      <c r="B11" s="693" t="s">
        <v>747</v>
      </c>
      <c r="C11" s="3"/>
      <c r="D11" s="292"/>
      <c r="E11" s="292"/>
      <c r="F11" s="292"/>
      <c r="I11" s="364"/>
    </row>
    <row r="12">
      <c r="B12" s="292"/>
      <c r="C12" s="292"/>
      <c r="D12" s="292"/>
      <c r="E12" s="292"/>
      <c r="F12" s="292"/>
      <c r="I12" s="364"/>
    </row>
    <row r="13">
      <c r="B13" s="364"/>
      <c r="C13" s="56" t="s">
        <v>740</v>
      </c>
      <c r="D13" s="57" t="s">
        <v>741</v>
      </c>
      <c r="E13" s="57" t="s">
        <v>742</v>
      </c>
      <c r="F13" s="58" t="s">
        <v>748</v>
      </c>
      <c r="H13" s="188" t="s">
        <v>749</v>
      </c>
      <c r="I13" s="161"/>
      <c r="J13" s="188" t="s">
        <v>717</v>
      </c>
      <c r="K13" s="161"/>
    </row>
    <row r="14">
      <c r="B14" s="325" t="s">
        <v>750</v>
      </c>
      <c r="C14" s="694">
        <f>'OM Direct Materials &amp; Direct La'!H41/2</f>
        <v>6767.035813</v>
      </c>
      <c r="D14" s="694">
        <f>(H14/365)*'OM Demand and Lead Time'!C25</f>
        <v>5065.650412</v>
      </c>
      <c r="E14" s="694">
        <f>'OM Demand and Lead Time'!E12/2</f>
        <v>780.8118246</v>
      </c>
      <c r="F14" s="694">
        <f t="shared" ref="F14:F15" si="3">SUM(C14:E14)</f>
        <v>12613.49805</v>
      </c>
      <c r="H14" s="668">
        <f>'MK Sales Projections'!D14</f>
        <v>81204.42975</v>
      </c>
      <c r="I14" s="695"/>
      <c r="J14" s="668">
        <f>ROUND(SQRT((2*H14*'OM Assumptions'!C17)/('OM Direct Materials &amp; Direct La'!F51*'OM Assumptions'!C20)),0)</f>
        <v>1799</v>
      </c>
    </row>
    <row r="15">
      <c r="B15" s="241" t="s">
        <v>751</v>
      </c>
      <c r="C15" s="694">
        <f>'OM Assumptions'!C19*SQRT(('OM Demand and Lead Time'!C25*('OM Demand and Lead Time'!E12/SQRT(7))^2)+((('OM Demand and Lead Time'!C12/365)^2)*'OM Demand and Lead Time'!D25^2))</f>
        <v>4665.826733</v>
      </c>
      <c r="D15" s="694" t="s">
        <v>603</v>
      </c>
      <c r="E15" s="694">
        <f>'OM Assumptions'!C19*('OM Demand and Lead Time'!E12/SQRT(7))*SQRT(7)</f>
        <v>2568.64232</v>
      </c>
      <c r="F15" s="694">
        <f t="shared" si="3"/>
        <v>7234.469053</v>
      </c>
      <c r="I15" s="364"/>
    </row>
    <row r="16">
      <c r="B16" s="188" t="s">
        <v>743</v>
      </c>
      <c r="C16" s="697">
        <f t="shared" ref="C16:F16" si="4">SUM(C14:C15)</f>
        <v>11432.86255</v>
      </c>
      <c r="D16" s="698">
        <f t="shared" si="4"/>
        <v>5065.650412</v>
      </c>
      <c r="E16" s="698">
        <f t="shared" si="4"/>
        <v>3349.454145</v>
      </c>
      <c r="F16" s="699">
        <f t="shared" si="4"/>
        <v>19847.9671</v>
      </c>
      <c r="I16" s="364"/>
    </row>
    <row r="17">
      <c r="I17" s="364"/>
    </row>
    <row r="18">
      <c r="B18" s="693" t="s">
        <v>752</v>
      </c>
      <c r="C18" s="3"/>
      <c r="D18" s="292"/>
      <c r="E18" s="292"/>
      <c r="F18" s="292"/>
      <c r="I18" s="364"/>
    </row>
    <row r="19">
      <c r="B19" s="292"/>
      <c r="C19" s="292"/>
      <c r="D19" s="292"/>
      <c r="E19" s="292"/>
      <c r="F19" s="292"/>
      <c r="I19" s="364"/>
    </row>
    <row r="20">
      <c r="B20" s="364"/>
      <c r="C20" s="56" t="s">
        <v>740</v>
      </c>
      <c r="D20" s="57" t="s">
        <v>741</v>
      </c>
      <c r="E20" s="57" t="s">
        <v>742</v>
      </c>
      <c r="F20" s="58" t="s">
        <v>748</v>
      </c>
      <c r="H20" s="188" t="s">
        <v>749</v>
      </c>
      <c r="I20" s="161"/>
      <c r="J20" s="188" t="s">
        <v>717</v>
      </c>
      <c r="K20" s="161"/>
    </row>
    <row r="21">
      <c r="B21" s="325" t="s">
        <v>745</v>
      </c>
      <c r="C21" s="694">
        <f>'OM Direct Materials &amp; Direct La'!H58/2</f>
        <v>6610.220848</v>
      </c>
      <c r="D21" s="694">
        <f>(H21/365)*'OM Demand and Lead Time'!C26</f>
        <v>6597.683021</v>
      </c>
      <c r="E21" s="694">
        <f>'OM Demand and Lead Time'!E13/2</f>
        <v>1016.957054</v>
      </c>
      <c r="F21" s="694">
        <f t="shared" ref="F21:F23" si="5">SUM(C21:E21)</f>
        <v>14224.86092</v>
      </c>
      <c r="H21" s="668">
        <f>'MK Sales Projections'!E14</f>
        <v>105763.5336</v>
      </c>
      <c r="I21" s="695"/>
      <c r="J21" s="668">
        <f>ROUND(SQRT((2*H21*'OM Assumptions'!C17)/('OM Direct Materials &amp; Direct La'!F68*'OM Assumptions'!C20)),0)</f>
        <v>2053</v>
      </c>
    </row>
    <row r="22">
      <c r="B22" s="241" t="s">
        <v>751</v>
      </c>
      <c r="C22" s="694">
        <f>'OM Assumptions'!C19*SQRT(('OM Demand and Lead Time'!C26*('OM Demand and Lead Time'!F13/SQRT(7))^2)+((('OM Demand and Lead Time'!C13/365)^2)*('OM Demand and Lead Time'!D24)^2))</f>
        <v>7287.627655</v>
      </c>
      <c r="D22" s="694" t="s">
        <v>603</v>
      </c>
      <c r="E22" s="694">
        <f>'OM Assumptions'!C19*('OM Demand and Lead Time'!F13/SQRT(7))*SQRT(7)</f>
        <v>4020.779771</v>
      </c>
      <c r="F22" s="694">
        <f t="shared" si="5"/>
        <v>11308.40743</v>
      </c>
      <c r="I22" s="364"/>
    </row>
    <row r="23">
      <c r="B23" s="188" t="s">
        <v>748</v>
      </c>
      <c r="C23" s="697">
        <f t="shared" ref="C23:E23" si="6">SUM(C21:C22)</f>
        <v>13897.8485</v>
      </c>
      <c r="D23" s="698">
        <f t="shared" si="6"/>
        <v>6597.683021</v>
      </c>
      <c r="E23" s="698">
        <f t="shared" si="6"/>
        <v>5037.736825</v>
      </c>
      <c r="F23" s="699">
        <f t="shared" si="5"/>
        <v>25533.26835</v>
      </c>
      <c r="I23" s="364"/>
    </row>
    <row r="24">
      <c r="I24" s="364"/>
    </row>
    <row r="25">
      <c r="B25" s="693" t="s">
        <v>753</v>
      </c>
      <c r="C25" s="3"/>
      <c r="D25" s="292"/>
      <c r="E25" s="292"/>
      <c r="F25" s="292"/>
      <c r="I25" s="364"/>
    </row>
    <row r="26">
      <c r="B26" s="292"/>
      <c r="C26" s="292"/>
      <c r="D26" s="292"/>
      <c r="E26" s="292"/>
      <c r="F26" s="292"/>
      <c r="I26" s="364"/>
    </row>
    <row r="27">
      <c r="B27" s="364"/>
      <c r="C27" s="56" t="s">
        <v>740</v>
      </c>
      <c r="D27" s="57" t="s">
        <v>741</v>
      </c>
      <c r="E27" s="57" t="s">
        <v>742</v>
      </c>
      <c r="F27" s="58" t="s">
        <v>748</v>
      </c>
      <c r="H27" s="188" t="s">
        <v>749</v>
      </c>
      <c r="I27" s="161"/>
      <c r="J27" s="188" t="s">
        <v>717</v>
      </c>
      <c r="K27" s="161"/>
    </row>
    <row r="28">
      <c r="B28" s="325" t="s">
        <v>754</v>
      </c>
      <c r="C28" s="694">
        <f>'OM Direct Materials &amp; Direct La'!H75/2</f>
        <v>7973.6219</v>
      </c>
      <c r="D28" s="694">
        <f>(H28/365)*'OM Demand and Lead Time'!C27</f>
        <v>9948.122582</v>
      </c>
      <c r="E28" s="694">
        <f>'OM Demand and Lead Time'!E14/2</f>
        <v>1533.388827</v>
      </c>
      <c r="F28" s="694">
        <f t="shared" ref="F28:F30" si="7">SUM(C28:E28)</f>
        <v>19455.13331</v>
      </c>
      <c r="H28" s="668">
        <f>'MK Sales Projections'!F14</f>
        <v>159472.438</v>
      </c>
      <c r="I28" s="695"/>
      <c r="J28" s="668">
        <f>ROUND(SQRT((2*H28*'OM Assumptions'!C17)/('OM Direct Materials &amp; Direct La'!F85*'OM Assumptions'!C20)),0)</f>
        <v>2521</v>
      </c>
    </row>
    <row r="29">
      <c r="B29" s="241" t="s">
        <v>755</v>
      </c>
      <c r="C29" s="694">
        <f>'OM Assumptions'!C19*SQRT(('OM Demand and Lead Time'!C27*('OM Demand and Lead Time'!E14/SQRT(7))^2)+((('OM Demand and Lead Time'!C14/365)^2)*('OM Demand and Lead Time'!D27)^2))</f>
        <v>9162.933189</v>
      </c>
      <c r="D29" s="694" t="s">
        <v>603</v>
      </c>
      <c r="E29" s="694">
        <f>'OM Assumptions'!C19*('OM Demand and Lead Time'!F14/SQRT(7))*SQRT(7)</f>
        <v>6062.614695</v>
      </c>
      <c r="F29" s="694">
        <f t="shared" si="7"/>
        <v>15225.54788</v>
      </c>
      <c r="I29" s="364"/>
    </row>
    <row r="30">
      <c r="B30" s="188" t="s">
        <v>167</v>
      </c>
      <c r="C30" s="697">
        <f t="shared" ref="C30:E30" si="8">SUM(C28:C29)</f>
        <v>17136.55509</v>
      </c>
      <c r="D30" s="698">
        <f t="shared" si="8"/>
        <v>9948.122582</v>
      </c>
      <c r="E30" s="698">
        <f t="shared" si="8"/>
        <v>7596.003522</v>
      </c>
      <c r="F30" s="699">
        <f t="shared" si="7"/>
        <v>34680.68119</v>
      </c>
      <c r="I30" s="364"/>
    </row>
    <row r="31">
      <c r="I31" s="364"/>
    </row>
    <row r="32">
      <c r="B32" s="693" t="s">
        <v>756</v>
      </c>
      <c r="C32" s="3"/>
      <c r="D32" s="292"/>
      <c r="E32" s="292"/>
      <c r="F32" s="292"/>
      <c r="I32" s="364"/>
    </row>
    <row r="33">
      <c r="B33" s="292"/>
      <c r="C33" s="292"/>
      <c r="D33" s="292"/>
      <c r="E33" s="292"/>
      <c r="F33" s="292"/>
      <c r="I33" s="364"/>
    </row>
    <row r="34">
      <c r="B34" s="364"/>
      <c r="C34" s="56" t="s">
        <v>740</v>
      </c>
      <c r="D34" s="57" t="s">
        <v>741</v>
      </c>
      <c r="E34" s="57" t="s">
        <v>742</v>
      </c>
      <c r="F34" s="58" t="s">
        <v>748</v>
      </c>
      <c r="H34" s="188" t="s">
        <v>749</v>
      </c>
      <c r="I34" s="161"/>
      <c r="J34" s="188" t="s">
        <v>717</v>
      </c>
      <c r="K34" s="161"/>
    </row>
    <row r="35">
      <c r="B35" s="325" t="s">
        <v>750</v>
      </c>
      <c r="C35" s="700">
        <f>'OM Direct Materials &amp; Direct La'!H92/2</f>
        <v>5189.710849</v>
      </c>
      <c r="D35" s="694">
        <f>(H35/365)*'OM Demand and Lead Time'!C28</f>
        <v>14892.11863</v>
      </c>
      <c r="E35" s="694">
        <f>'OM Demand and Lead Time'!E15/2</f>
        <v>2295.449029</v>
      </c>
      <c r="F35" s="701">
        <f t="shared" ref="F35:F37" si="9">SUM(C35:E35)</f>
        <v>22377.27851</v>
      </c>
      <c r="H35" s="668">
        <f>'MK Sales Projections'!G14</f>
        <v>238726.699</v>
      </c>
      <c r="I35" s="695"/>
      <c r="J35" s="668">
        <f>ROUND(SQRT((2*H35*'OM Assumptions'!C17)/('OM Direct Materials &amp; Direct La'!F102*'OM Assumptions'!C20)),0)</f>
        <v>3085</v>
      </c>
    </row>
    <row r="36">
      <c r="B36" s="241" t="s">
        <v>751</v>
      </c>
      <c r="C36" s="700">
        <f>'OM Assumptions'!C19*SQRT(('OM Demand and Lead Time'!C28*('OM Demand and Lead Time'!E15/SQRT(7))^2)+((('OM Demand and Lead Time'!C15/365)^2)*'OM Demand and Lead Time'!D28^2))</f>
        <v>13716.70755</v>
      </c>
      <c r="D36" s="694" t="s">
        <v>603</v>
      </c>
      <c r="E36" s="694">
        <f>'OM Assumptions'!C19*('OM Demand and Lead Time'!F15/SQRT(7))*SQRT(7)</f>
        <v>9075.599595</v>
      </c>
      <c r="F36" s="701">
        <f t="shared" si="9"/>
        <v>22792.30714</v>
      </c>
      <c r="I36" s="161"/>
      <c r="J36" s="161"/>
    </row>
    <row r="37">
      <c r="B37" s="188" t="s">
        <v>743</v>
      </c>
      <c r="C37" s="697">
        <f t="shared" ref="C37:E37" si="10">SUM(C35:C36)</f>
        <v>18906.41839</v>
      </c>
      <c r="D37" s="698">
        <f t="shared" si="10"/>
        <v>14892.11863</v>
      </c>
      <c r="E37" s="698">
        <f t="shared" si="10"/>
        <v>11371.04862</v>
      </c>
      <c r="F37" s="699">
        <f t="shared" si="9"/>
        <v>45169.58565</v>
      </c>
    </row>
    <row r="39">
      <c r="B39" s="1" t="s">
        <v>757</v>
      </c>
      <c r="C39" s="2"/>
      <c r="D39" s="2"/>
      <c r="E39" s="2"/>
      <c r="F39" s="2"/>
      <c r="G39" s="2"/>
      <c r="H39" s="2"/>
      <c r="I39" s="2"/>
      <c r="J39" s="2"/>
      <c r="K39" s="3"/>
    </row>
    <row r="40"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</row>
    <row r="41">
      <c r="B41" s="693" t="s">
        <v>739</v>
      </c>
      <c r="C41" s="3"/>
      <c r="D41" s="292"/>
      <c r="E41" s="292"/>
      <c r="F41" s="292"/>
    </row>
    <row r="42">
      <c r="A42" s="292"/>
      <c r="B42" s="292"/>
      <c r="C42" s="292"/>
      <c r="D42" s="292"/>
      <c r="E42" s="292"/>
      <c r="F42" s="292"/>
    </row>
    <row r="43">
      <c r="B43" s="364"/>
      <c r="C43" s="56" t="s">
        <v>740</v>
      </c>
      <c r="D43" s="57" t="s">
        <v>741</v>
      </c>
      <c r="E43" s="57" t="s">
        <v>742</v>
      </c>
      <c r="F43" s="58" t="s">
        <v>743</v>
      </c>
      <c r="H43" s="174" t="s">
        <v>758</v>
      </c>
      <c r="I43" s="201" t="s">
        <v>759</v>
      </c>
      <c r="J43" s="201" t="s">
        <v>760</v>
      </c>
      <c r="K43" s="202" t="s">
        <v>761</v>
      </c>
    </row>
    <row r="44">
      <c r="B44" s="325" t="s">
        <v>745</v>
      </c>
      <c r="C44" s="702">
        <f t="shared" ref="C44:E44" si="11">C7*H44</f>
        <v>39487.17077</v>
      </c>
      <c r="D44" s="703">
        <f t="shared" si="11"/>
        <v>31101.63688</v>
      </c>
      <c r="E44" s="703">
        <f t="shared" si="11"/>
        <v>6550.445479</v>
      </c>
      <c r="F44" s="704">
        <f t="shared" ref="F44:F45" si="12">SUM(C44:E44)</f>
        <v>77139.25313</v>
      </c>
      <c r="H44" s="705">
        <f>'OM Direct Materials &amp; Direct La'!F33</f>
        <v>6.69</v>
      </c>
      <c r="I44" s="706">
        <f>AVERAGE(H44,J44)</f>
        <v>10.55863714</v>
      </c>
      <c r="J44" s="706">
        <f>'FE Assumptions'!C43</f>
        <v>14.42727428</v>
      </c>
      <c r="K44" s="707">
        <f>'FE Assumptions'!C42/50</f>
        <v>13624.9266</v>
      </c>
    </row>
    <row r="45">
      <c r="B45" s="241" t="s">
        <v>746</v>
      </c>
      <c r="C45" s="708">
        <f>C8*H44</f>
        <v>21766.88226</v>
      </c>
      <c r="D45" s="709" t="s">
        <v>603</v>
      </c>
      <c r="E45" s="709">
        <f>E8*J44</f>
        <v>21549.04798</v>
      </c>
      <c r="F45" s="710">
        <f t="shared" si="12"/>
        <v>43315.93024</v>
      </c>
      <c r="H45" s="161"/>
    </row>
    <row r="46">
      <c r="B46" s="188" t="s">
        <v>743</v>
      </c>
      <c r="C46" s="711">
        <f t="shared" ref="C46:F46" si="13">SUM(C44:C45)</f>
        <v>61254.05303</v>
      </c>
      <c r="D46" s="712">
        <f t="shared" si="13"/>
        <v>31101.63688</v>
      </c>
      <c r="E46" s="712">
        <f t="shared" si="13"/>
        <v>28099.49346</v>
      </c>
      <c r="F46" s="713">
        <f t="shared" si="13"/>
        <v>120455.1834</v>
      </c>
      <c r="H46" s="693" t="s">
        <v>762</v>
      </c>
      <c r="I46" s="3"/>
      <c r="J46" s="714">
        <f>F46/K44</f>
        <v>8.840795033</v>
      </c>
      <c r="K46" s="575"/>
    </row>
    <row r="48">
      <c r="B48" s="693" t="s">
        <v>747</v>
      </c>
      <c r="C48" s="3"/>
      <c r="D48" s="292"/>
      <c r="E48" s="292"/>
      <c r="F48" s="292"/>
    </row>
    <row r="49">
      <c r="B49" s="292"/>
      <c r="C49" s="292"/>
      <c r="D49" s="292"/>
      <c r="E49" s="292"/>
      <c r="F49" s="292"/>
    </row>
    <row r="50">
      <c r="B50" s="364"/>
      <c r="C50" s="715" t="s">
        <v>740</v>
      </c>
      <c r="D50" s="716" t="s">
        <v>741</v>
      </c>
      <c r="E50" s="716" t="s">
        <v>742</v>
      </c>
      <c r="F50" s="58" t="s">
        <v>743</v>
      </c>
      <c r="H50" s="174" t="s">
        <v>758</v>
      </c>
      <c r="I50" s="201" t="s">
        <v>759</v>
      </c>
      <c r="J50" s="201" t="s">
        <v>760</v>
      </c>
      <c r="K50" s="202" t="s">
        <v>761</v>
      </c>
    </row>
    <row r="51">
      <c r="B51" s="325" t="s">
        <v>745</v>
      </c>
      <c r="C51" s="709">
        <f t="shared" ref="C51:E51" si="14">C14*H51</f>
        <v>45271.46959</v>
      </c>
      <c r="D51" s="709">
        <f t="shared" si="14"/>
        <v>51329.37169</v>
      </c>
      <c r="E51" s="709">
        <f t="shared" si="14"/>
        <v>10600.035</v>
      </c>
      <c r="F51" s="709">
        <f t="shared" ref="F51:F52" si="15">SUM(C51:E51)</f>
        <v>107200.8763</v>
      </c>
      <c r="H51" s="705">
        <f>'OM Direct Materials &amp; Direct La'!F51</f>
        <v>6.69</v>
      </c>
      <c r="I51" s="706">
        <f>AVERAGE(H51,J51)</f>
        <v>10.13282945</v>
      </c>
      <c r="J51" s="706">
        <f>'FE Assumptions'!D43</f>
        <v>13.5756589</v>
      </c>
      <c r="K51" s="707">
        <f>'FE Assumptions'!D42/50</f>
        <v>22048.07279</v>
      </c>
    </row>
    <row r="52">
      <c r="B52" s="241" t="s">
        <v>746</v>
      </c>
      <c r="C52" s="709">
        <f>C15*H51</f>
        <v>31214.38084</v>
      </c>
      <c r="D52" s="709" t="s">
        <v>603</v>
      </c>
      <c r="E52" s="709">
        <f>J51*E15</f>
        <v>34871.01198</v>
      </c>
      <c r="F52" s="709">
        <f t="shared" si="15"/>
        <v>66085.39283</v>
      </c>
    </row>
    <row r="53">
      <c r="B53" s="188" t="s">
        <v>743</v>
      </c>
      <c r="C53" s="717">
        <f t="shared" ref="C53:F53" si="16">SUM(C51:C52)</f>
        <v>76485.85043</v>
      </c>
      <c r="D53" s="717">
        <f t="shared" si="16"/>
        <v>51329.37169</v>
      </c>
      <c r="E53" s="717">
        <f t="shared" si="16"/>
        <v>45471.04698</v>
      </c>
      <c r="F53" s="717">
        <f t="shared" si="16"/>
        <v>173286.2691</v>
      </c>
      <c r="H53" s="693" t="s">
        <v>763</v>
      </c>
      <c r="I53" s="3"/>
      <c r="J53" s="714">
        <f>F53/K51</f>
        <v>7.859474645</v>
      </c>
      <c r="K53" s="575"/>
    </row>
    <row r="55">
      <c r="B55" s="693" t="s">
        <v>752</v>
      </c>
      <c r="C55" s="3"/>
      <c r="D55" s="292"/>
      <c r="E55" s="292"/>
      <c r="F55" s="292"/>
    </row>
    <row r="56">
      <c r="B56" s="292"/>
      <c r="C56" s="292"/>
      <c r="D56" s="292"/>
      <c r="E56" s="292"/>
      <c r="F56" s="292"/>
    </row>
    <row r="57">
      <c r="B57" s="364"/>
      <c r="C57" s="56" t="s">
        <v>740</v>
      </c>
      <c r="D57" s="57" t="s">
        <v>741</v>
      </c>
      <c r="E57" s="57" t="s">
        <v>742</v>
      </c>
      <c r="F57" s="58" t="s">
        <v>743</v>
      </c>
      <c r="H57" s="174" t="s">
        <v>758</v>
      </c>
      <c r="I57" s="201" t="s">
        <v>759</v>
      </c>
      <c r="J57" s="201" t="s">
        <v>760</v>
      </c>
      <c r="K57" s="202" t="s">
        <v>761</v>
      </c>
    </row>
    <row r="58">
      <c r="B58" s="325" t="s">
        <v>745</v>
      </c>
      <c r="C58" s="709">
        <f t="shared" ref="C58:E58" si="17">C21*H58</f>
        <v>44222.37747</v>
      </c>
      <c r="D58" s="709">
        <f t="shared" si="17"/>
        <v>67131.38304</v>
      </c>
      <c r="E58" s="709">
        <f t="shared" si="17"/>
        <v>13891.62049</v>
      </c>
      <c r="F58" s="709">
        <f t="shared" ref="F58:F59" si="18">SUM(C58:E58)</f>
        <v>125245.381</v>
      </c>
      <c r="H58" s="705">
        <f>'OM Direct Materials &amp; Direct La'!F68</f>
        <v>6.69</v>
      </c>
      <c r="I58" s="706">
        <f>AVERAGE(H58,J58)</f>
        <v>10.17499368</v>
      </c>
      <c r="J58" s="706">
        <f>'FE Assumptions'!E43</f>
        <v>13.65998736</v>
      </c>
      <c r="K58" s="707">
        <f>'FE Assumptions'!E42/50</f>
        <v>28894.57063</v>
      </c>
    </row>
    <row r="59">
      <c r="B59" s="241" t="s">
        <v>746</v>
      </c>
      <c r="C59" s="709">
        <f>H58*C22</f>
        <v>48754.22901</v>
      </c>
      <c r="D59" s="709" t="s">
        <v>603</v>
      </c>
      <c r="E59" s="709">
        <f>E22*J58</f>
        <v>54923.80084</v>
      </c>
      <c r="F59" s="709">
        <f t="shared" si="18"/>
        <v>103678.0299</v>
      </c>
    </row>
    <row r="60">
      <c r="B60" s="188" t="s">
        <v>743</v>
      </c>
      <c r="C60" s="717">
        <f t="shared" ref="C60:F60" si="19">SUM(C58:C59)</f>
        <v>92976.60649</v>
      </c>
      <c r="D60" s="717">
        <f t="shared" si="19"/>
        <v>67131.38304</v>
      </c>
      <c r="E60" s="717">
        <f t="shared" si="19"/>
        <v>68815.42134</v>
      </c>
      <c r="F60" s="717">
        <f t="shared" si="19"/>
        <v>228923.4109</v>
      </c>
      <c r="H60" s="693" t="s">
        <v>764</v>
      </c>
      <c r="I60" s="3"/>
      <c r="J60" s="714">
        <f>F60/K58</f>
        <v>7.92271371</v>
      </c>
      <c r="K60" s="575"/>
    </row>
    <row r="62">
      <c r="B62" s="693" t="s">
        <v>753</v>
      </c>
      <c r="C62" s="3"/>
      <c r="D62" s="292"/>
      <c r="E62" s="292"/>
      <c r="F62" s="292"/>
    </row>
    <row r="63">
      <c r="B63" s="292"/>
      <c r="C63" s="292"/>
      <c r="D63" s="292"/>
      <c r="E63" s="292"/>
      <c r="F63" s="292"/>
    </row>
    <row r="64">
      <c r="B64" s="364"/>
      <c r="C64" s="56" t="s">
        <v>740</v>
      </c>
      <c r="D64" s="57" t="s">
        <v>741</v>
      </c>
      <c r="E64" s="57" t="s">
        <v>742</v>
      </c>
      <c r="F64" s="58" t="s">
        <v>743</v>
      </c>
      <c r="H64" s="174" t="s">
        <v>758</v>
      </c>
      <c r="I64" s="201" t="s">
        <v>759</v>
      </c>
      <c r="J64" s="201" t="s">
        <v>760</v>
      </c>
      <c r="K64" s="202" t="s">
        <v>761</v>
      </c>
    </row>
    <row r="65">
      <c r="B65" s="325" t="s">
        <v>745</v>
      </c>
      <c r="C65" s="709">
        <f t="shared" ref="C65:E65" si="20">H65*C28</f>
        <v>53343.53051</v>
      </c>
      <c r="D65" s="709">
        <f t="shared" si="20"/>
        <v>96256.02889</v>
      </c>
      <c r="E65" s="709">
        <f t="shared" si="20"/>
        <v>19415.15117</v>
      </c>
      <c r="F65" s="709">
        <f t="shared" ref="F65:F66" si="21">SUM(C65:E65)</f>
        <v>169014.7106</v>
      </c>
      <c r="H65" s="705">
        <f>'OM Direct Materials &amp; Direct La'!F85</f>
        <v>6.69</v>
      </c>
      <c r="I65" s="706">
        <f>AVERAGE(H65,J65)</f>
        <v>9.675798434</v>
      </c>
      <c r="J65" s="706">
        <f>'FE Assumptions'!F43</f>
        <v>12.66159687</v>
      </c>
      <c r="K65" s="707">
        <f>'FE Assumptions'!F42/50</f>
        <v>40383.51443</v>
      </c>
    </row>
    <row r="66">
      <c r="B66" s="241" t="s">
        <v>746</v>
      </c>
      <c r="C66" s="709">
        <f>H65*C29</f>
        <v>61300.02303</v>
      </c>
      <c r="D66" s="709" t="s">
        <v>603</v>
      </c>
      <c r="E66" s="709">
        <f>J65*E29</f>
        <v>76762.38323</v>
      </c>
      <c r="F66" s="709">
        <f t="shared" si="21"/>
        <v>138062.4063</v>
      </c>
    </row>
    <row r="67">
      <c r="B67" s="188" t="s">
        <v>743</v>
      </c>
      <c r="C67" s="717">
        <f t="shared" ref="C67:F67" si="22">SUM(C65:C66)</f>
        <v>114643.5535</v>
      </c>
      <c r="D67" s="717">
        <f t="shared" si="22"/>
        <v>96256.02889</v>
      </c>
      <c r="E67" s="717">
        <f t="shared" si="22"/>
        <v>96177.5344</v>
      </c>
      <c r="F67" s="717">
        <f t="shared" si="22"/>
        <v>307077.1168</v>
      </c>
      <c r="H67" s="693" t="s">
        <v>765</v>
      </c>
      <c r="I67" s="3"/>
      <c r="J67" s="714">
        <f>F67/K65</f>
        <v>7.604021621</v>
      </c>
      <c r="K67" s="575"/>
    </row>
    <row r="69">
      <c r="B69" s="693" t="s">
        <v>756</v>
      </c>
      <c r="C69" s="3"/>
      <c r="D69" s="292"/>
      <c r="E69" s="292"/>
      <c r="F69" s="292"/>
    </row>
    <row r="70">
      <c r="B70" s="292"/>
      <c r="C70" s="292"/>
      <c r="D70" s="292"/>
      <c r="E70" s="292"/>
      <c r="F70" s="292"/>
    </row>
    <row r="71">
      <c r="B71" s="364"/>
      <c r="C71" s="56" t="s">
        <v>740</v>
      </c>
      <c r="D71" s="57" t="s">
        <v>741</v>
      </c>
      <c r="E71" s="57" t="s">
        <v>742</v>
      </c>
      <c r="F71" s="58" t="s">
        <v>743</v>
      </c>
      <c r="H71" s="174" t="s">
        <v>758</v>
      </c>
      <c r="I71" s="201" t="s">
        <v>759</v>
      </c>
      <c r="J71" s="201" t="s">
        <v>760</v>
      </c>
      <c r="K71" s="202" t="s">
        <v>761</v>
      </c>
    </row>
    <row r="72">
      <c r="B72" s="325" t="s">
        <v>745</v>
      </c>
      <c r="C72" s="709">
        <f t="shared" ref="C72:E72" si="23">H72*C35</f>
        <v>34719.16558</v>
      </c>
      <c r="D72" s="709">
        <f t="shared" si="23"/>
        <v>141645.3653</v>
      </c>
      <c r="E72" s="709">
        <f t="shared" si="23"/>
        <v>28309.45811</v>
      </c>
      <c r="F72" s="709">
        <f t="shared" ref="F72:F73" si="24">SUM(C72:E72)</f>
        <v>204673.989</v>
      </c>
      <c r="H72" s="705">
        <f>'OM Direct Materials &amp; Direct La'!F102</f>
        <v>6.69</v>
      </c>
      <c r="I72" s="706">
        <f>AVERAGE(H72,J72)</f>
        <v>9.511431436</v>
      </c>
      <c r="J72" s="706">
        <f>'FE Assumptions'!G43</f>
        <v>12.33286287</v>
      </c>
      <c r="K72" s="707">
        <f>'FE Assumptions'!G42/50</f>
        <v>58883.67286</v>
      </c>
    </row>
    <row r="73">
      <c r="B73" s="241" t="s">
        <v>746</v>
      </c>
      <c r="C73" s="709">
        <f>H72*C36</f>
        <v>91764.77348</v>
      </c>
      <c r="D73" s="709" t="s">
        <v>603</v>
      </c>
      <c r="E73" s="709">
        <f>J72*E36</f>
        <v>111928.1253</v>
      </c>
      <c r="F73" s="709">
        <f t="shared" si="24"/>
        <v>203692.8988</v>
      </c>
    </row>
    <row r="74">
      <c r="B74" s="188" t="s">
        <v>743</v>
      </c>
      <c r="C74" s="717">
        <f t="shared" ref="C74:F74" si="25">SUM(C72:C73)</f>
        <v>126483.9391</v>
      </c>
      <c r="D74" s="717">
        <f t="shared" si="25"/>
        <v>141645.3653</v>
      </c>
      <c r="E74" s="717">
        <f t="shared" si="25"/>
        <v>140237.5834</v>
      </c>
      <c r="F74" s="717">
        <f t="shared" si="25"/>
        <v>408366.8878</v>
      </c>
      <c r="H74" s="693" t="s">
        <v>766</v>
      </c>
      <c r="I74" s="3"/>
      <c r="J74" s="714">
        <f>F74/K72</f>
        <v>6.93514633</v>
      </c>
      <c r="K74" s="575"/>
    </row>
    <row r="75">
      <c r="H75" s="718"/>
    </row>
    <row r="76" ht="15.0" customHeight="1">
      <c r="B76" s="1" t="s">
        <v>767</v>
      </c>
      <c r="C76" s="2"/>
      <c r="D76" s="2"/>
      <c r="E76" s="2"/>
      <c r="F76" s="2"/>
      <c r="G76" s="3"/>
      <c r="H76" s="719"/>
      <c r="I76" s="719"/>
      <c r="J76" s="719"/>
      <c r="K76" s="719"/>
    </row>
    <row r="78" ht="15.0" customHeight="1">
      <c r="B78" s="326" t="s">
        <v>768</v>
      </c>
      <c r="C78" s="475" t="s">
        <v>32</v>
      </c>
      <c r="D78" s="475" t="s">
        <v>33</v>
      </c>
      <c r="E78" s="475" t="s">
        <v>34</v>
      </c>
      <c r="F78" s="475" t="s">
        <v>35</v>
      </c>
      <c r="G78" s="476" t="s">
        <v>36</v>
      </c>
    </row>
    <row r="79" ht="15.0" customHeight="1">
      <c r="B79" s="720" t="s">
        <v>769</v>
      </c>
      <c r="C79" s="721">
        <f>'MK Sales Projections'!C16</f>
        <v>1629067.135</v>
      </c>
      <c r="D79" s="721">
        <f>'MK Sales Projections'!D16</f>
        <v>2758562.246</v>
      </c>
      <c r="E79" s="721">
        <f>'MK Sales Projections'!E16</f>
        <v>3503176.678</v>
      </c>
      <c r="F79" s="721">
        <f>'MK Sales Projections'!F16</f>
        <v>5040746.574</v>
      </c>
      <c r="G79" s="722">
        <f>'MK Sales Projections'!G16</f>
        <v>7386204.068</v>
      </c>
    </row>
    <row r="80" ht="15.0" customHeight="1">
      <c r="B80" s="720" t="s">
        <v>770</v>
      </c>
      <c r="C80" s="723">
        <f>'FE Assumptions'!C35</f>
        <v>34.5</v>
      </c>
      <c r="D80" s="723">
        <f>'FE Assumptions'!D35</f>
        <v>33.97058824</v>
      </c>
      <c r="E80" s="723">
        <f>'FE Assumptions'!E35</f>
        <v>33.12272727</v>
      </c>
      <c r="F80" s="723">
        <f>'FE Assumptions'!F35</f>
        <v>31.60888889</v>
      </c>
      <c r="G80" s="724">
        <f>'FE Assumptions'!G35</f>
        <v>30.94</v>
      </c>
    </row>
    <row r="81" ht="15.0" customHeight="1">
      <c r="B81" s="720" t="s">
        <v>314</v>
      </c>
      <c r="C81" s="725">
        <f>'MK Sales Projections'!C14</f>
        <v>47219.33725</v>
      </c>
      <c r="D81" s="725">
        <f>'MK Sales Projections'!D14</f>
        <v>81204.42975</v>
      </c>
      <c r="E81" s="725">
        <f>'MK Sales Projections'!E14</f>
        <v>105763.5336</v>
      </c>
      <c r="F81" s="725">
        <f>'MK Sales Projections'!F14</f>
        <v>159472.438</v>
      </c>
      <c r="G81" s="726">
        <f>'MK Sales Projections'!G14</f>
        <v>238726.699</v>
      </c>
    </row>
    <row r="82" ht="15.0" customHeight="1">
      <c r="B82" s="720" t="s">
        <v>760</v>
      </c>
      <c r="C82" s="723">
        <f>'FE Assumptions'!C43</f>
        <v>14.42727428</v>
      </c>
      <c r="D82" s="723">
        <f>'FE Assumptions'!D43</f>
        <v>13.5756589</v>
      </c>
      <c r="E82" s="723">
        <f>'FE Assumptions'!E43</f>
        <v>13.65998736</v>
      </c>
      <c r="F82" s="723">
        <f>'FE Assumptions'!F43</f>
        <v>12.66159687</v>
      </c>
      <c r="G82" s="724">
        <f>'FE Assumptions'!G43</f>
        <v>12.33286287</v>
      </c>
    </row>
    <row r="83" ht="15.0" customHeight="1">
      <c r="B83" s="720" t="s">
        <v>137</v>
      </c>
      <c r="C83" s="727">
        <f t="shared" ref="C83:G83" si="26">C81*C82</f>
        <v>681246.3298</v>
      </c>
      <c r="D83" s="727">
        <f t="shared" si="26"/>
        <v>1102403.64</v>
      </c>
      <c r="E83" s="727">
        <f t="shared" si="26"/>
        <v>1444728.531</v>
      </c>
      <c r="F83" s="727">
        <f t="shared" si="26"/>
        <v>2019175.721</v>
      </c>
      <c r="G83" s="728">
        <f t="shared" si="26"/>
        <v>2944183.643</v>
      </c>
    </row>
    <row r="84" ht="15.0" customHeight="1">
      <c r="B84" s="720" t="s">
        <v>138</v>
      </c>
      <c r="C84" s="723">
        <f t="shared" ref="C84:G84" si="27">C79-C83</f>
        <v>947820.8052</v>
      </c>
      <c r="D84" s="723">
        <f t="shared" si="27"/>
        <v>1656158.606</v>
      </c>
      <c r="E84" s="723">
        <f t="shared" si="27"/>
        <v>2058448.146</v>
      </c>
      <c r="F84" s="723">
        <f t="shared" si="27"/>
        <v>3021570.852</v>
      </c>
      <c r="G84" s="724">
        <f t="shared" si="27"/>
        <v>4442020.425</v>
      </c>
    </row>
    <row r="85" ht="15.0" customHeight="1">
      <c r="B85" s="720" t="s">
        <v>771</v>
      </c>
      <c r="C85" s="729">
        <f t="shared" ref="C85:G85" si="28">C84/C79</f>
        <v>0.5818181368</v>
      </c>
      <c r="D85" s="729">
        <f t="shared" si="28"/>
        <v>0.6003702141</v>
      </c>
      <c r="E85" s="729">
        <f t="shared" si="28"/>
        <v>0.5875947278</v>
      </c>
      <c r="F85" s="729">
        <f t="shared" si="28"/>
        <v>0.599429233</v>
      </c>
      <c r="G85" s="730">
        <f t="shared" si="28"/>
        <v>0.6013942188</v>
      </c>
    </row>
    <row r="86" ht="15.0" customHeight="1">
      <c r="B86" s="720" t="s">
        <v>772</v>
      </c>
      <c r="C86" s="723">
        <f t="shared" ref="C86:G86" si="29">(C79-C83)/C81</f>
        <v>20.07272572</v>
      </c>
      <c r="D86" s="723">
        <f t="shared" si="29"/>
        <v>20.39492933</v>
      </c>
      <c r="E86" s="723">
        <f t="shared" si="29"/>
        <v>19.46273992</v>
      </c>
      <c r="F86" s="723">
        <f t="shared" si="29"/>
        <v>18.94729202</v>
      </c>
      <c r="G86" s="724">
        <f t="shared" si="29"/>
        <v>18.60713713</v>
      </c>
    </row>
    <row r="87" ht="15.0" customHeight="1">
      <c r="B87" s="720" t="s">
        <v>773</v>
      </c>
      <c r="C87" s="731">
        <f>'OM Assumptions'!$F$36</f>
        <v>0.3</v>
      </c>
      <c r="D87" s="731">
        <f>'OM Assumptions'!$F$36</f>
        <v>0.3</v>
      </c>
      <c r="E87" s="731">
        <f>'OM Assumptions'!$F$36</f>
        <v>0.3</v>
      </c>
      <c r="F87" s="731">
        <f>'OM Assumptions'!$F$36</f>
        <v>0.3</v>
      </c>
      <c r="G87" s="732">
        <f>'OM Assumptions'!$F$36</f>
        <v>0.3</v>
      </c>
    </row>
    <row r="88" ht="15.0" customHeight="1">
      <c r="B88" s="720" t="s">
        <v>774</v>
      </c>
      <c r="C88" s="723">
        <f t="shared" ref="C88:G88" si="30">C82*C87/6</f>
        <v>0.721363714</v>
      </c>
      <c r="D88" s="723">
        <f t="shared" si="30"/>
        <v>0.6787829451</v>
      </c>
      <c r="E88" s="723">
        <f t="shared" si="30"/>
        <v>0.6829993679</v>
      </c>
      <c r="F88" s="723">
        <f t="shared" si="30"/>
        <v>0.6330798434</v>
      </c>
      <c r="G88" s="724">
        <f t="shared" si="30"/>
        <v>0.6166431436</v>
      </c>
    </row>
    <row r="89" ht="15.0" customHeight="1">
      <c r="B89" s="733" t="s">
        <v>775</v>
      </c>
      <c r="C89" s="734">
        <f t="shared" ref="C89:G89" si="31">C86/(C86+C88)</f>
        <v>0.9653091944</v>
      </c>
      <c r="D89" s="734">
        <f t="shared" si="31"/>
        <v>0.967790063</v>
      </c>
      <c r="E89" s="734">
        <f t="shared" si="31"/>
        <v>0.966097081</v>
      </c>
      <c r="F89" s="734">
        <f t="shared" si="31"/>
        <v>0.9676676292</v>
      </c>
      <c r="G89" s="735">
        <f t="shared" si="31"/>
        <v>0.9679228989</v>
      </c>
    </row>
    <row r="90" ht="15.0" customHeight="1">
      <c r="B90" s="720" t="s">
        <v>776</v>
      </c>
      <c r="C90" s="736">
        <f t="shared" ref="C90:G90" si="32">NORMINV(C89,0,1)</f>
        <v>1.815926739</v>
      </c>
      <c r="D90" s="736">
        <f t="shared" si="32"/>
        <v>1.849262803</v>
      </c>
      <c r="E90" s="736">
        <f t="shared" si="32"/>
        <v>1.826295</v>
      </c>
      <c r="F90" s="736">
        <f t="shared" si="32"/>
        <v>1.847568835</v>
      </c>
      <c r="G90" s="737">
        <f t="shared" si="32"/>
        <v>1.851106714</v>
      </c>
    </row>
    <row r="91" ht="15.0" customHeight="1">
      <c r="B91" s="733" t="s">
        <v>777</v>
      </c>
      <c r="C91" s="738">
        <f>'OM Assumptions'!$C$18</f>
        <v>0.95</v>
      </c>
      <c r="D91" s="738">
        <f>'OM Assumptions'!$C$18</f>
        <v>0.95</v>
      </c>
      <c r="E91" s="738">
        <f>'OM Assumptions'!$C$18</f>
        <v>0.95</v>
      </c>
      <c r="F91" s="738">
        <f>'OM Assumptions'!$C$18</f>
        <v>0.95</v>
      </c>
      <c r="G91" s="739">
        <f>'OM Assumptions'!$C$18</f>
        <v>0.95</v>
      </c>
    </row>
    <row r="92" ht="15.0" customHeight="1">
      <c r="B92" s="740" t="s">
        <v>778</v>
      </c>
      <c r="C92" s="741" t="str">
        <f t="shared" ref="C92:G92" si="33">IF(C89&gt;C91,"YES","NO")</f>
        <v>YES</v>
      </c>
      <c r="D92" s="741" t="str">
        <f t="shared" si="33"/>
        <v>YES</v>
      </c>
      <c r="E92" s="741" t="str">
        <f t="shared" si="33"/>
        <v>YES</v>
      </c>
      <c r="F92" s="741" t="str">
        <f t="shared" si="33"/>
        <v>YES</v>
      </c>
      <c r="G92" s="742" t="str">
        <f t="shared" si="33"/>
        <v>YES</v>
      </c>
    </row>
    <row r="94">
      <c r="B94" s="743" t="s">
        <v>779</v>
      </c>
      <c r="C94" s="2"/>
      <c r="D94" s="2"/>
      <c r="E94" s="2"/>
      <c r="F94" s="3"/>
      <c r="G94" s="744"/>
    </row>
    <row r="96">
      <c r="B96" s="745" t="s">
        <v>638</v>
      </c>
      <c r="C96" s="746" t="s">
        <v>780</v>
      </c>
      <c r="D96" s="746" t="s">
        <v>781</v>
      </c>
      <c r="E96" s="746" t="s">
        <v>782</v>
      </c>
      <c r="F96" s="747" t="s">
        <v>783</v>
      </c>
      <c r="G96" s="583"/>
    </row>
    <row r="97">
      <c r="B97" s="748" t="s">
        <v>648</v>
      </c>
      <c r="C97" s="749">
        <v>1.0</v>
      </c>
      <c r="D97" s="750">
        <f>'OM Direct Materials &amp; Direct La'!$H$75*C97+C29</f>
        <v>25110.17699</v>
      </c>
      <c r="E97" s="751">
        <f>1*(0.5/12)*(0.5/12)</f>
        <v>0.001736111111</v>
      </c>
      <c r="F97" s="752">
        <f t="shared" ref="F97:F109" si="34">D97*E97</f>
        <v>43.59405727</v>
      </c>
    </row>
    <row r="98">
      <c r="B98" s="753" t="s">
        <v>650</v>
      </c>
      <c r="C98" s="754">
        <v>1.0</v>
      </c>
      <c r="D98" s="755">
        <f>'OM Direct Materials &amp; Direct La'!$H$75*C98+$C$29</f>
        <v>25110.17699</v>
      </c>
      <c r="E98" s="756">
        <f>1*1*(0.1/12)</f>
        <v>0.008333333333</v>
      </c>
      <c r="F98" s="757">
        <f t="shared" si="34"/>
        <v>209.2514749</v>
      </c>
    </row>
    <row r="99">
      <c r="B99" s="753" t="s">
        <v>652</v>
      </c>
      <c r="C99" s="754">
        <v>1.0</v>
      </c>
      <c r="D99" s="755">
        <f>'OM Direct Materials &amp; Direct La'!$H$75*C99+$C$29</f>
        <v>25110.17699</v>
      </c>
      <c r="E99" s="756">
        <f>(1/12)*(2/12)*(1/12)</f>
        <v>0.001157407407</v>
      </c>
      <c r="F99" s="757">
        <f t="shared" si="34"/>
        <v>29.06270485</v>
      </c>
    </row>
    <row r="100">
      <c r="B100" s="753" t="s">
        <v>653</v>
      </c>
      <c r="C100" s="754">
        <v>1.0</v>
      </c>
      <c r="D100" s="755">
        <f>'OM Direct Materials &amp; Direct La'!$H$75*C100+$C$29</f>
        <v>25110.17699</v>
      </c>
      <c r="E100" s="756">
        <f>(1/12)*(1/12)*(1/24)</f>
        <v>0.0002893518519</v>
      </c>
      <c r="F100" s="757">
        <f t="shared" si="34"/>
        <v>7.265676212</v>
      </c>
    </row>
    <row r="101">
      <c r="B101" s="753" t="s">
        <v>654</v>
      </c>
      <c r="C101" s="754">
        <v>1.0</v>
      </c>
      <c r="D101" s="755">
        <f>'OM Direct Materials &amp; Direct La'!$H$75*C101+$C$29</f>
        <v>25110.17699</v>
      </c>
      <c r="E101" s="756">
        <f>(1.5/12)*(1/12)*(0.5/12)</f>
        <v>0.0004340277778</v>
      </c>
      <c r="F101" s="757">
        <f t="shared" si="34"/>
        <v>10.89851432</v>
      </c>
    </row>
    <row r="102">
      <c r="B102" s="753" t="s">
        <v>655</v>
      </c>
      <c r="C102" s="754">
        <v>1.0</v>
      </c>
      <c r="D102" s="755">
        <f>'OM Direct Materials &amp; Direct La'!$H$75*C102+$C$29</f>
        <v>25110.17699</v>
      </c>
      <c r="E102" s="756">
        <f>(0.25/12)*(0.25/12)*(0.25/12)</f>
        <v>0.00000904224537</v>
      </c>
      <c r="F102" s="757">
        <f t="shared" si="34"/>
        <v>0.2270523816</v>
      </c>
    </row>
    <row r="103">
      <c r="B103" s="753" t="s">
        <v>656</v>
      </c>
      <c r="C103" s="754">
        <v>1.0</v>
      </c>
      <c r="D103" s="755">
        <f>'OM Direct Materials &amp; Direct La'!$H$75*C103+$C$29</f>
        <v>25110.17699</v>
      </c>
      <c r="E103" s="756">
        <f>(1/12)*(0.5/12)*(0.2/12)</f>
        <v>0.00005787037037</v>
      </c>
      <c r="F103" s="757">
        <f t="shared" si="34"/>
        <v>1.453135242</v>
      </c>
    </row>
    <row r="104">
      <c r="B104" s="753" t="s">
        <v>784</v>
      </c>
      <c r="C104" s="758">
        <v>0.5</v>
      </c>
      <c r="D104" s="755">
        <f>'OM Direct Materials &amp; Direct La'!$H$75*C104+($C$29*C104)</f>
        <v>12555.08849</v>
      </c>
      <c r="E104" s="756">
        <f>(3.2)*(0.1/12)*(0.1/12)</f>
        <v>0.0002222222222</v>
      </c>
      <c r="F104" s="757">
        <f t="shared" si="34"/>
        <v>2.790019665</v>
      </c>
    </row>
    <row r="105">
      <c r="B105" s="753" t="s">
        <v>658</v>
      </c>
      <c r="C105" s="754">
        <v>1.0</v>
      </c>
      <c r="D105" s="755">
        <f>'OM Direct Materials &amp; Direct La'!$H$75*C105+$C$29</f>
        <v>25110.17699</v>
      </c>
      <c r="E105" s="756">
        <f>(1/12)*(1/12)*(0.2/12)</f>
        <v>0.0001157407407</v>
      </c>
      <c r="F105" s="757">
        <f t="shared" si="34"/>
        <v>2.906270485</v>
      </c>
    </row>
    <row r="106">
      <c r="B106" s="753" t="s">
        <v>659</v>
      </c>
      <c r="C106" s="754">
        <v>12.0</v>
      </c>
      <c r="D106" s="755">
        <f>'OM Direct Materials &amp; Direct La'!$H$75*C106+($C$29*C106)</f>
        <v>301322.1239</v>
      </c>
      <c r="E106" s="756">
        <f>(1/12)*(0.1/12)*(0.1/12)</f>
        <v>0.000005787037037</v>
      </c>
      <c r="F106" s="757">
        <f t="shared" si="34"/>
        <v>1.743762291</v>
      </c>
    </row>
    <row r="107">
      <c r="B107" s="753" t="s">
        <v>660</v>
      </c>
      <c r="C107" s="754">
        <v>1.0</v>
      </c>
      <c r="D107" s="755">
        <f>'OM Direct Materials &amp; Direct La'!$H$75*C107+$C$29</f>
        <v>25110.17699</v>
      </c>
      <c r="E107" s="756">
        <f>(1/12)*(1/12)*(0.5/12)</f>
        <v>0.0002893518519</v>
      </c>
      <c r="F107" s="757">
        <f t="shared" si="34"/>
        <v>7.265676212</v>
      </c>
    </row>
    <row r="108">
      <c r="B108" s="753" t="s">
        <v>785</v>
      </c>
      <c r="C108" s="758">
        <v>0.25</v>
      </c>
      <c r="D108" s="759">
        <f>10000+($C$29*C108)</f>
        <v>12290.7333</v>
      </c>
      <c r="E108" s="756">
        <v>0.03</v>
      </c>
      <c r="F108" s="757">
        <f t="shared" si="34"/>
        <v>368.7219989</v>
      </c>
    </row>
    <row r="109">
      <c r="B109" s="760" t="s">
        <v>663</v>
      </c>
      <c r="C109" s="761">
        <v>1.0</v>
      </c>
      <c r="D109" s="762">
        <f>'OM Direct Materials &amp; Direct La'!$H$75*C109</f>
        <v>15947.2438</v>
      </c>
      <c r="E109" s="763">
        <f>(2.1/12)*(2.1/12)*(4.1/12)</f>
        <v>0.01046354167</v>
      </c>
      <c r="F109" s="764">
        <f t="shared" si="34"/>
        <v>166.86465</v>
      </c>
    </row>
    <row r="110">
      <c r="E110" s="765" t="s">
        <v>786</v>
      </c>
      <c r="F110" s="766">
        <f>sum(F97:F109)</f>
        <v>852.0449927</v>
      </c>
    </row>
    <row r="111">
      <c r="D111" s="744"/>
      <c r="E111" s="767"/>
      <c r="F111" s="768"/>
    </row>
    <row r="112">
      <c r="B112" s="769"/>
      <c r="C112" s="770"/>
      <c r="D112" s="745" t="s">
        <v>787</v>
      </c>
      <c r="E112" s="746" t="s">
        <v>788</v>
      </c>
      <c r="F112" s="771" t="s">
        <v>783</v>
      </c>
    </row>
    <row r="113">
      <c r="B113" s="769"/>
      <c r="C113" s="770"/>
      <c r="D113" s="772">
        <f>E36+E35</f>
        <v>11371.04862</v>
      </c>
      <c r="E113" s="773">
        <f>(2/12)*(2/12)*(4/12)</f>
        <v>0.009259259259</v>
      </c>
      <c r="F113" s="774">
        <f>D113*E113</f>
        <v>105.2874873</v>
      </c>
    </row>
    <row r="114">
      <c r="B114" s="769"/>
      <c r="C114" s="770"/>
      <c r="D114" s="775"/>
      <c r="E114" s="765" t="s">
        <v>789</v>
      </c>
      <c r="F114" s="766">
        <f>F110+F113</f>
        <v>957.33248</v>
      </c>
    </row>
    <row r="115">
      <c r="B115" s="769"/>
      <c r="C115" s="770"/>
      <c r="D115" s="776"/>
      <c r="E115" s="765" t="s">
        <v>790</v>
      </c>
      <c r="F115" s="766">
        <f>'OM Assumptions'!C35+('OM Assumptions'!C36*'OM Capital Expenditures'!I7)</f>
        <v>1103.333333</v>
      </c>
    </row>
    <row r="116">
      <c r="B116" s="769"/>
      <c r="C116" s="770"/>
      <c r="D116" s="777"/>
      <c r="E116" s="765" t="s">
        <v>791</v>
      </c>
      <c r="F116" s="778" t="str">
        <f>IF(F115&gt;F114,"YES","NO")</f>
        <v>YES</v>
      </c>
    </row>
  </sheetData>
  <mergeCells count="20">
    <mergeCell ref="B2:K2"/>
    <mergeCell ref="B4:C4"/>
    <mergeCell ref="B11:C11"/>
    <mergeCell ref="B18:C18"/>
    <mergeCell ref="B25:C25"/>
    <mergeCell ref="B32:C32"/>
    <mergeCell ref="B39:K39"/>
    <mergeCell ref="B62:C62"/>
    <mergeCell ref="B69:C69"/>
    <mergeCell ref="B94:F94"/>
    <mergeCell ref="H74:I74"/>
    <mergeCell ref="H75:K75"/>
    <mergeCell ref="B76:G76"/>
    <mergeCell ref="B41:C41"/>
    <mergeCell ref="H46:I46"/>
    <mergeCell ref="B48:C48"/>
    <mergeCell ref="H53:I53"/>
    <mergeCell ref="B55:C55"/>
    <mergeCell ref="H60:I60"/>
    <mergeCell ref="H67:I67"/>
  </mergeCells>
  <conditionalFormatting sqref="C92:G92">
    <cfRule type="containsText" dxfId="7" priority="1" operator="containsText" text="NO">
      <formula>NOT(ISERROR(SEARCH(("NO"),(C92))))</formula>
    </cfRule>
  </conditionalFormatting>
  <conditionalFormatting sqref="C92:G92">
    <cfRule type="containsText" dxfId="8" priority="2" operator="containsText" text="YES">
      <formula>NOT(ISERROR(SEARCH(("YES"),(C92))))</formula>
    </cfRule>
  </conditionalFormatting>
  <conditionalFormatting sqref="F116">
    <cfRule type="cellIs" dxfId="9" priority="3" operator="equal">
      <formula>"YES"</formula>
    </cfRule>
  </conditionalFormatting>
  <hyperlinks>
    <hyperlink r:id="rId1" ref="B97"/>
    <hyperlink r:id="rId2" ref="B98"/>
    <hyperlink r:id="rId3" ref="B99"/>
    <hyperlink r:id="rId4" ref="B100"/>
    <hyperlink r:id="rId5" ref="B101"/>
    <hyperlink r:id="rId6" ref="B102"/>
    <hyperlink r:id="rId7" ref="B103"/>
    <hyperlink r:id="rId8" ref="B104"/>
    <hyperlink r:id="rId9" ref="B105"/>
    <hyperlink r:id="rId10" ref="B106"/>
    <hyperlink r:id="rId11" ref="B107"/>
    <hyperlink r:id="rId12" ref="B108"/>
    <hyperlink r:id="rId13" ref="B109"/>
  </hyperlinks>
  <printOptions/>
  <pageMargins bottom="0.75" footer="0.0" header="0.0" left="0.7" right="0.7" top="0.75"/>
  <pageSetup orientation="landscape"/>
  <drawing r:id="rId14"/>
  <tableParts count="1">
    <tablePart r:id="rId16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6" width="28.5"/>
  </cols>
  <sheetData>
    <row r="1">
      <c r="A1" s="779"/>
    </row>
    <row r="2">
      <c r="B2" s="1" t="s">
        <v>792</v>
      </c>
      <c r="C2" s="3"/>
    </row>
    <row r="4">
      <c r="B4" s="624" t="s">
        <v>793</v>
      </c>
      <c r="C4" s="3"/>
      <c r="D4" s="364"/>
      <c r="E4" s="364"/>
      <c r="F4" s="364"/>
    </row>
    <row r="5">
      <c r="B5" s="780" t="s">
        <v>794</v>
      </c>
      <c r="C5" s="781">
        <v>1.5</v>
      </c>
      <c r="D5" s="364"/>
      <c r="E5" s="364"/>
      <c r="F5" s="364"/>
    </row>
    <row r="6">
      <c r="B6" s="782" t="s">
        <v>795</v>
      </c>
      <c r="C6" s="783">
        <v>1.0</v>
      </c>
      <c r="D6" s="364"/>
      <c r="E6" s="364"/>
      <c r="F6" s="364"/>
    </row>
    <row r="7">
      <c r="B7" s="784" t="s">
        <v>796</v>
      </c>
      <c r="C7" s="785">
        <v>0.5</v>
      </c>
      <c r="D7" s="364"/>
      <c r="E7" s="364"/>
      <c r="F7" s="364"/>
    </row>
    <row r="8">
      <c r="B8" s="364"/>
      <c r="C8" s="786"/>
      <c r="D8" s="364"/>
      <c r="E8" s="364"/>
      <c r="F8" s="364"/>
    </row>
    <row r="9">
      <c r="B9" s="446" t="s">
        <v>797</v>
      </c>
      <c r="C9" s="577"/>
      <c r="D9" s="577"/>
      <c r="E9" s="577"/>
      <c r="F9" s="397"/>
    </row>
    <row r="10">
      <c r="B10" s="56" t="s">
        <v>261</v>
      </c>
      <c r="C10" s="57" t="s">
        <v>797</v>
      </c>
      <c r="D10" s="57" t="s">
        <v>798</v>
      </c>
      <c r="E10" s="57" t="s">
        <v>799</v>
      </c>
      <c r="F10" s="58" t="s">
        <v>800</v>
      </c>
    </row>
    <row r="11">
      <c r="B11" s="787" t="s">
        <v>32</v>
      </c>
      <c r="C11" s="788">
        <f>'MK Sales Projections'!C14</f>
        <v>47219.33725</v>
      </c>
      <c r="D11" s="788">
        <f t="shared" ref="D11:D15" si="1">((C11*C$5)-(C11*C$7))/6</f>
        <v>7869.889541</v>
      </c>
      <c r="E11" s="789">
        <f t="shared" ref="E11:E15" si="2">C11/52</f>
        <v>908.0641778</v>
      </c>
      <c r="F11" s="790">
        <f t="shared" ref="F11:F15" si="3">D11/SQRT(52)</f>
        <v>1091.357318</v>
      </c>
    </row>
    <row r="12">
      <c r="B12" s="791" t="s">
        <v>33</v>
      </c>
      <c r="C12" s="792">
        <f>'MK Sales Projections'!D14</f>
        <v>81204.42975</v>
      </c>
      <c r="D12" s="792">
        <f t="shared" si="1"/>
        <v>13534.07163</v>
      </c>
      <c r="E12" s="793">
        <f t="shared" si="2"/>
        <v>1561.623649</v>
      </c>
      <c r="F12" s="794">
        <f t="shared" si="3"/>
        <v>1876.838047</v>
      </c>
    </row>
    <row r="13">
      <c r="B13" s="791" t="s">
        <v>34</v>
      </c>
      <c r="C13" s="792">
        <f>'MK Sales Projections'!E14</f>
        <v>105763.5336</v>
      </c>
      <c r="D13" s="792">
        <f t="shared" si="1"/>
        <v>17627.25559</v>
      </c>
      <c r="E13" s="793">
        <f t="shared" si="2"/>
        <v>2033.914107</v>
      </c>
      <c r="F13" s="794">
        <f t="shared" si="3"/>
        <v>2444.460534</v>
      </c>
    </row>
    <row r="14">
      <c r="B14" s="791" t="s">
        <v>35</v>
      </c>
      <c r="C14" s="792">
        <f>'MK Sales Projections'!F14</f>
        <v>159472.438</v>
      </c>
      <c r="D14" s="792">
        <f t="shared" si="1"/>
        <v>26578.73967</v>
      </c>
      <c r="E14" s="793">
        <f t="shared" si="2"/>
        <v>3066.777654</v>
      </c>
      <c r="F14" s="794">
        <f t="shared" si="3"/>
        <v>3685.808027</v>
      </c>
    </row>
    <row r="15">
      <c r="B15" s="795" t="s">
        <v>36</v>
      </c>
      <c r="C15" s="796">
        <f>'MK Sales Projections'!G14</f>
        <v>238726.699</v>
      </c>
      <c r="D15" s="796">
        <f t="shared" si="1"/>
        <v>39787.78317</v>
      </c>
      <c r="E15" s="797">
        <f t="shared" si="2"/>
        <v>4590.898059</v>
      </c>
      <c r="F15" s="798">
        <f t="shared" si="3"/>
        <v>5517.572783</v>
      </c>
    </row>
    <row r="16">
      <c r="B16" s="364"/>
      <c r="C16" s="495"/>
      <c r="D16" s="364"/>
      <c r="E16" s="364"/>
      <c r="F16" s="364"/>
    </row>
    <row r="17">
      <c r="B17" s="624" t="s">
        <v>801</v>
      </c>
      <c r="C17" s="3"/>
      <c r="D17" s="364"/>
      <c r="E17" s="364"/>
      <c r="F17" s="364"/>
    </row>
    <row r="18">
      <c r="B18" s="799" t="s">
        <v>802</v>
      </c>
      <c r="C18" s="800">
        <v>1.2</v>
      </c>
      <c r="D18" s="364"/>
      <c r="E18" s="364"/>
      <c r="F18" s="364"/>
    </row>
    <row r="19">
      <c r="B19" s="801" t="s">
        <v>803</v>
      </c>
      <c r="C19" s="802">
        <v>1.0</v>
      </c>
      <c r="D19" s="364"/>
      <c r="E19" s="364"/>
      <c r="F19" s="364"/>
    </row>
    <row r="20">
      <c r="B20" s="547" t="s">
        <v>804</v>
      </c>
      <c r="C20" s="803">
        <v>0.8</v>
      </c>
      <c r="D20" s="364"/>
      <c r="E20" s="364"/>
      <c r="F20" s="364"/>
    </row>
    <row r="21">
      <c r="B21" s="364"/>
      <c r="C21" s="364"/>
      <c r="D21" s="364"/>
      <c r="E21" s="364"/>
      <c r="F21" s="364"/>
    </row>
    <row r="22">
      <c r="B22" s="804" t="s">
        <v>805</v>
      </c>
      <c r="C22" s="2"/>
      <c r="D22" s="2"/>
      <c r="E22" s="2"/>
      <c r="F22" s="3"/>
    </row>
    <row r="23">
      <c r="B23" s="326" t="s">
        <v>261</v>
      </c>
      <c r="C23" s="805" t="s">
        <v>806</v>
      </c>
      <c r="D23" s="475" t="s">
        <v>798</v>
      </c>
      <c r="E23" s="475" t="s">
        <v>799</v>
      </c>
      <c r="F23" s="476" t="s">
        <v>800</v>
      </c>
    </row>
    <row r="24">
      <c r="B24" s="806" t="s">
        <v>32</v>
      </c>
      <c r="C24" s="807">
        <f>'OM Raw Material Data'!$D$17</f>
        <v>22.76923077</v>
      </c>
      <c r="D24" s="808">
        <f t="shared" ref="D24:D28" si="4">((C24*C$18)-(C$20*C24))/6</f>
        <v>1.517948718</v>
      </c>
      <c r="E24" s="809">
        <f t="shared" ref="E24:E28" si="5">C24/7</f>
        <v>3.252747253</v>
      </c>
      <c r="F24" s="810">
        <f t="shared" ref="F24:F28" si="6">D24/SQRT(7)</f>
        <v>0.5737306872</v>
      </c>
    </row>
    <row r="25">
      <c r="B25" s="811" t="s">
        <v>33</v>
      </c>
      <c r="C25" s="812">
        <f>'OM Raw Material Data'!$D$17</f>
        <v>22.76923077</v>
      </c>
      <c r="D25" s="813">
        <f t="shared" si="4"/>
        <v>1.517948718</v>
      </c>
      <c r="E25" s="814">
        <f t="shared" si="5"/>
        <v>3.252747253</v>
      </c>
      <c r="F25" s="815">
        <f t="shared" si="6"/>
        <v>0.5737306872</v>
      </c>
    </row>
    <row r="26">
      <c r="B26" s="811" t="s">
        <v>34</v>
      </c>
      <c r="C26" s="812">
        <f>'OM Raw Material Data'!$D$17</f>
        <v>22.76923077</v>
      </c>
      <c r="D26" s="813">
        <f t="shared" si="4"/>
        <v>1.517948718</v>
      </c>
      <c r="E26" s="814">
        <f t="shared" si="5"/>
        <v>3.252747253</v>
      </c>
      <c r="F26" s="815">
        <f t="shared" si="6"/>
        <v>0.5737306872</v>
      </c>
    </row>
    <row r="27">
      <c r="B27" s="811" t="s">
        <v>35</v>
      </c>
      <c r="C27" s="812">
        <f>'OM Raw Material Data'!$D$17</f>
        <v>22.76923077</v>
      </c>
      <c r="D27" s="813">
        <f t="shared" si="4"/>
        <v>1.517948718</v>
      </c>
      <c r="E27" s="814">
        <f t="shared" si="5"/>
        <v>3.252747253</v>
      </c>
      <c r="F27" s="815">
        <f t="shared" si="6"/>
        <v>0.5737306872</v>
      </c>
    </row>
    <row r="28">
      <c r="B28" s="816" t="s">
        <v>36</v>
      </c>
      <c r="C28" s="817">
        <f>'OM Raw Material Data'!$D$17</f>
        <v>22.76923077</v>
      </c>
      <c r="D28" s="818">
        <f t="shared" si="4"/>
        <v>1.517948718</v>
      </c>
      <c r="E28" s="819">
        <f t="shared" si="5"/>
        <v>3.252747253</v>
      </c>
      <c r="F28" s="820">
        <f t="shared" si="6"/>
        <v>0.5737306872</v>
      </c>
    </row>
    <row r="30">
      <c r="B30" s="646"/>
      <c r="C30" s="646"/>
      <c r="D30" s="646"/>
      <c r="E30" s="646"/>
      <c r="F30" s="646"/>
    </row>
    <row r="31">
      <c r="B31" s="646"/>
      <c r="C31" s="646"/>
      <c r="D31" s="646"/>
      <c r="E31" s="646"/>
      <c r="F31" s="646"/>
    </row>
    <row r="32">
      <c r="B32" s="648"/>
      <c r="C32" s="648"/>
      <c r="D32" s="648"/>
      <c r="E32" s="648"/>
      <c r="F32" s="648"/>
    </row>
    <row r="33">
      <c r="B33" s="648"/>
      <c r="C33" s="648"/>
      <c r="D33" s="648"/>
      <c r="E33" s="648"/>
      <c r="F33" s="648"/>
    </row>
    <row r="34">
      <c r="B34" s="648"/>
    </row>
    <row r="35">
      <c r="B35" s="648"/>
    </row>
    <row r="36">
      <c r="B36" s="648"/>
    </row>
    <row r="37">
      <c r="B37" s="648"/>
    </row>
  </sheetData>
  <mergeCells count="5">
    <mergeCell ref="B2:C2"/>
    <mergeCell ref="B4:C4"/>
    <mergeCell ref="B9:F9"/>
    <mergeCell ref="B17:C17"/>
    <mergeCell ref="B22:F2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19.13"/>
    <col customWidth="1" min="3" max="3" width="23.13"/>
    <col customWidth="1" min="4" max="4" width="36.38"/>
    <col customWidth="1" min="5" max="6" width="26.25"/>
    <col customWidth="1" min="7" max="7" width="24.88"/>
    <col customWidth="1" min="8" max="8" width="18.88"/>
    <col customWidth="1" min="9" max="9" width="18.25"/>
    <col customWidth="1" min="11" max="11" width="22.38"/>
    <col customWidth="1" min="12" max="12" width="31.75"/>
  </cols>
  <sheetData>
    <row r="2">
      <c r="D2" s="1" t="s">
        <v>807</v>
      </c>
      <c r="E2" s="3"/>
      <c r="F2" s="364"/>
    </row>
    <row r="4" ht="15.0" customHeight="1">
      <c r="D4" s="199" t="s">
        <v>808</v>
      </c>
      <c r="E4" s="397"/>
      <c r="F4" s="364"/>
      <c r="G4" s="364"/>
      <c r="H4" s="364"/>
      <c r="I4" s="364" t="s">
        <v>809</v>
      </c>
    </row>
    <row r="5" ht="15.0" customHeight="1">
      <c r="B5" s="821"/>
      <c r="C5" s="326" t="s">
        <v>810</v>
      </c>
      <c r="D5" s="475" t="s">
        <v>811</v>
      </c>
      <c r="E5" s="475" t="s">
        <v>812</v>
      </c>
      <c r="F5" s="475" t="s">
        <v>813</v>
      </c>
      <c r="G5" s="475" t="s">
        <v>814</v>
      </c>
      <c r="H5" s="475" t="s">
        <v>815</v>
      </c>
      <c r="I5" s="476" t="s">
        <v>816</v>
      </c>
      <c r="K5" s="1" t="s">
        <v>817</v>
      </c>
      <c r="L5" s="3"/>
    </row>
    <row r="6" ht="15.0" customHeight="1">
      <c r="B6" s="257"/>
      <c r="C6" s="822"/>
      <c r="D6" s="823" t="s">
        <v>818</v>
      </c>
      <c r="E6" s="824">
        <v>1.0</v>
      </c>
      <c r="F6" s="825">
        <f t="shared" ref="F6:F17" si="1">E6*G6</f>
        <v>16290.67135</v>
      </c>
      <c r="G6" s="826">
        <f>'MK Sales Projections'!C16*'OM Assumptions'!$F$3</f>
        <v>16290.67135</v>
      </c>
      <c r="H6" s="827">
        <f>'OM Assumptions'!$C$7</f>
        <v>2000</v>
      </c>
      <c r="I6" s="828">
        <f t="shared" ref="I6:I7" si="2">G6/H6</f>
        <v>8.145335675</v>
      </c>
      <c r="K6" s="829" t="s">
        <v>819</v>
      </c>
      <c r="L6" s="830"/>
    </row>
    <row r="7" ht="15.0" customHeight="1">
      <c r="B7" s="821"/>
      <c r="C7" s="831"/>
      <c r="D7" s="246" t="s">
        <v>820</v>
      </c>
      <c r="E7" s="832">
        <v>1.0</v>
      </c>
      <c r="F7" s="511">
        <f t="shared" si="1"/>
        <v>16290.67135</v>
      </c>
      <c r="G7" s="339">
        <f>'MK Sales Projections'!C16*'OM Assumptions'!$F$3</f>
        <v>16290.67135</v>
      </c>
      <c r="H7" s="502">
        <f>'OM Assumptions'!$C$7</f>
        <v>2000</v>
      </c>
      <c r="I7" s="833">
        <f t="shared" si="2"/>
        <v>8.145335675</v>
      </c>
      <c r="K7" s="834" t="s">
        <v>3</v>
      </c>
      <c r="L7" s="835"/>
    </row>
    <row r="8" ht="15.0" customHeight="1">
      <c r="C8" s="836"/>
      <c r="D8" s="664" t="s">
        <v>821</v>
      </c>
      <c r="E8" s="837">
        <v>1.0</v>
      </c>
      <c r="F8" s="402">
        <f t="shared" si="1"/>
        <v>78000</v>
      </c>
      <c r="G8" s="838">
        <f t="shared" ref="G8:G17" si="3">I8*H8</f>
        <v>78000</v>
      </c>
      <c r="H8" s="839">
        <f>'OM Assumptions'!$C$7</f>
        <v>2000</v>
      </c>
      <c r="I8" s="840">
        <v>39.0</v>
      </c>
      <c r="K8" s="834" t="s">
        <v>2</v>
      </c>
      <c r="L8" s="841"/>
    </row>
    <row r="9" ht="15.0" customHeight="1">
      <c r="B9" s="821"/>
      <c r="C9" s="842"/>
      <c r="D9" s="242" t="s">
        <v>822</v>
      </c>
      <c r="E9" s="843">
        <v>1.0</v>
      </c>
      <c r="F9" s="311">
        <f t="shared" si="1"/>
        <v>78000</v>
      </c>
      <c r="G9" s="336">
        <f t="shared" si="3"/>
        <v>78000</v>
      </c>
      <c r="H9" s="497">
        <f>'OM Assumptions'!$C$7</f>
        <v>2000</v>
      </c>
      <c r="I9" s="844">
        <v>39.0</v>
      </c>
      <c r="K9" s="834" t="s">
        <v>1</v>
      </c>
      <c r="L9" s="845"/>
    </row>
    <row r="10" ht="15.0" customHeight="1">
      <c r="C10" s="842"/>
      <c r="D10" s="242" t="s">
        <v>823</v>
      </c>
      <c r="E10" s="843">
        <v>1.0</v>
      </c>
      <c r="F10" s="311">
        <f t="shared" si="1"/>
        <v>70000</v>
      </c>
      <c r="G10" s="336">
        <f t="shared" si="3"/>
        <v>70000</v>
      </c>
      <c r="H10" s="497">
        <f>'OM Assumptions'!$C$7</f>
        <v>2000</v>
      </c>
      <c r="I10" s="844">
        <v>35.0</v>
      </c>
      <c r="K10" s="846" t="s">
        <v>824</v>
      </c>
      <c r="L10" s="847"/>
    </row>
    <row r="11" ht="15.0" customHeight="1">
      <c r="C11" s="842"/>
      <c r="D11" s="242" t="s">
        <v>825</v>
      </c>
      <c r="E11" s="843">
        <v>1.0</v>
      </c>
      <c r="F11" s="311">
        <f t="shared" si="1"/>
        <v>70000</v>
      </c>
      <c r="G11" s="336">
        <f t="shared" si="3"/>
        <v>70000</v>
      </c>
      <c r="H11" s="497">
        <f>'OM Assumptions'!$C$7</f>
        <v>2000</v>
      </c>
      <c r="I11" s="844">
        <v>35.0</v>
      </c>
    </row>
    <row r="12" ht="15.0" customHeight="1">
      <c r="C12" s="848"/>
      <c r="D12" s="246" t="s">
        <v>826</v>
      </c>
      <c r="E12" s="832">
        <v>1.0</v>
      </c>
      <c r="F12" s="511">
        <f t="shared" si="1"/>
        <v>40000</v>
      </c>
      <c r="G12" s="339">
        <f t="shared" si="3"/>
        <v>40000</v>
      </c>
      <c r="H12" s="502">
        <f>'OM Assumptions'!$C$7</f>
        <v>2000</v>
      </c>
      <c r="I12" s="833">
        <v>20.0</v>
      </c>
    </row>
    <row r="13" ht="15.0" customHeight="1">
      <c r="C13" s="849"/>
      <c r="D13" s="664" t="s">
        <v>827</v>
      </c>
      <c r="E13" s="837">
        <v>1.0</v>
      </c>
      <c r="F13" s="402">
        <f t="shared" si="1"/>
        <v>50000</v>
      </c>
      <c r="G13" s="838">
        <f t="shared" si="3"/>
        <v>50000</v>
      </c>
      <c r="H13" s="839">
        <f>'OM Assumptions'!$C$7</f>
        <v>2000</v>
      </c>
      <c r="I13" s="840">
        <v>25.0</v>
      </c>
    </row>
    <row r="14" ht="15.0" customHeight="1">
      <c r="B14" s="821"/>
      <c r="C14" s="850"/>
      <c r="D14" s="242" t="s">
        <v>828</v>
      </c>
      <c r="E14" s="843">
        <v>1.0</v>
      </c>
      <c r="F14" s="311">
        <f t="shared" si="1"/>
        <v>50000</v>
      </c>
      <c r="G14" s="336">
        <f t="shared" si="3"/>
        <v>50000</v>
      </c>
      <c r="H14" s="497">
        <f>'OM Assumptions'!$C$7</f>
        <v>2000</v>
      </c>
      <c r="I14" s="844">
        <v>25.0</v>
      </c>
    </row>
    <row r="15" ht="15.0" customHeight="1">
      <c r="B15" s="257"/>
      <c r="C15" s="851"/>
      <c r="D15" s="246" t="s">
        <v>829</v>
      </c>
      <c r="E15" s="832">
        <v>1.0</v>
      </c>
      <c r="F15" s="511">
        <f t="shared" si="1"/>
        <v>50000</v>
      </c>
      <c r="G15" s="339">
        <f t="shared" si="3"/>
        <v>50000</v>
      </c>
      <c r="H15" s="502">
        <f>'OM Assumptions'!$C$7</f>
        <v>2000</v>
      </c>
      <c r="I15" s="833">
        <v>25.0</v>
      </c>
    </row>
    <row r="16" ht="15.0" customHeight="1">
      <c r="B16" s="821"/>
      <c r="C16" s="852"/>
      <c r="D16" s="853" t="s">
        <v>830</v>
      </c>
      <c r="E16" s="854">
        <v>1.0</v>
      </c>
      <c r="F16" s="855">
        <f t="shared" si="1"/>
        <v>50000</v>
      </c>
      <c r="G16" s="856">
        <f t="shared" si="3"/>
        <v>50000</v>
      </c>
      <c r="H16" s="857">
        <f>'OM Assumptions'!$C$7</f>
        <v>2000</v>
      </c>
      <c r="I16" s="858">
        <v>25.0</v>
      </c>
    </row>
    <row r="17" ht="15.0" customHeight="1">
      <c r="C17" s="859"/>
      <c r="D17" s="242" t="s">
        <v>831</v>
      </c>
      <c r="E17" s="860">
        <v>1.0</v>
      </c>
      <c r="F17" s="861">
        <f t="shared" si="1"/>
        <v>59800</v>
      </c>
      <c r="G17" s="862">
        <f t="shared" si="3"/>
        <v>59800</v>
      </c>
      <c r="H17" s="863">
        <f>'OM Assumptions'!$C$7</f>
        <v>2000</v>
      </c>
      <c r="I17" s="864">
        <v>29.9</v>
      </c>
    </row>
    <row r="18" ht="15.0" customHeight="1">
      <c r="B18" s="821"/>
      <c r="C18" s="865" t="s">
        <v>832</v>
      </c>
      <c r="D18" s="866" t="s">
        <v>833</v>
      </c>
      <c r="E18" s="867" t="s">
        <v>834</v>
      </c>
      <c r="F18" s="868">
        <f>SUM(F6:F17)</f>
        <v>628381.3427</v>
      </c>
    </row>
    <row r="19" ht="15.0" customHeight="1">
      <c r="C19" s="869">
        <f>SUM(E6+E7)</f>
        <v>2</v>
      </c>
      <c r="D19" s="870">
        <f>SUM(E6:E17)</f>
        <v>12</v>
      </c>
      <c r="E19" s="681" t="s">
        <v>132</v>
      </c>
      <c r="F19" s="871">
        <f>F18/'MK Sales Projections'!C14</f>
        <v>13.30771204</v>
      </c>
    </row>
    <row r="20">
      <c r="C20" s="872" t="s">
        <v>835</v>
      </c>
    </row>
    <row r="21">
      <c r="C21" s="869">
        <f>SUM(E8,E9,E15)</f>
        <v>3</v>
      </c>
    </row>
    <row r="22" ht="15.0" customHeight="1">
      <c r="C22" s="872" t="s">
        <v>836</v>
      </c>
    </row>
    <row r="23" ht="15.0" customHeight="1">
      <c r="C23" s="869">
        <f>SUM(E10,E11,E12,E13,E14,E16,E17)</f>
        <v>7</v>
      </c>
    </row>
    <row r="25" ht="15.0" customHeight="1">
      <c r="D25" s="199" t="s">
        <v>837</v>
      </c>
      <c r="E25" s="397"/>
      <c r="F25" s="364"/>
      <c r="G25" s="364"/>
      <c r="H25" s="364"/>
      <c r="I25" s="364" t="s">
        <v>809</v>
      </c>
    </row>
    <row r="26" ht="15.0" customHeight="1">
      <c r="C26" s="873" t="s">
        <v>810</v>
      </c>
      <c r="D26" s="874" t="s">
        <v>811</v>
      </c>
      <c r="E26" s="874" t="s">
        <v>812</v>
      </c>
      <c r="F26" s="874" t="s">
        <v>813</v>
      </c>
      <c r="G26" s="874" t="s">
        <v>814</v>
      </c>
      <c r="H26" s="874" t="s">
        <v>815</v>
      </c>
      <c r="I26" s="875" t="s">
        <v>816</v>
      </c>
    </row>
    <row r="27" ht="15.0" customHeight="1">
      <c r="C27" s="876"/>
      <c r="D27" s="664" t="s">
        <v>818</v>
      </c>
      <c r="E27" s="837">
        <v>1.0</v>
      </c>
      <c r="F27" s="402">
        <f t="shared" ref="F27:F38" si="4">E27*G27</f>
        <v>27585.62246</v>
      </c>
      <c r="G27" s="838">
        <f>'MK Sales Projections'!D16*'OM Assumptions'!$F$3</f>
        <v>27585.62246</v>
      </c>
      <c r="H27" s="839">
        <f>'OM Assumptions'!$C$7</f>
        <v>2000</v>
      </c>
      <c r="I27" s="840">
        <f t="shared" ref="I27:I28" si="5">G27/H27</f>
        <v>13.79281123</v>
      </c>
    </row>
    <row r="28" ht="15.0" customHeight="1">
      <c r="C28" s="831"/>
      <c r="D28" s="246" t="s">
        <v>820</v>
      </c>
      <c r="E28" s="832">
        <v>1.0</v>
      </c>
      <c r="F28" s="511">
        <f t="shared" si="4"/>
        <v>27585.62246</v>
      </c>
      <c r="G28" s="339">
        <f>'MK Sales Projections'!D16*'OM Assumptions'!$F$3</f>
        <v>27585.62246</v>
      </c>
      <c r="H28" s="502">
        <f>'OM Assumptions'!$C$7</f>
        <v>2000</v>
      </c>
      <c r="I28" s="833">
        <f t="shared" si="5"/>
        <v>13.79281123</v>
      </c>
    </row>
    <row r="29" ht="15.0" customHeight="1">
      <c r="C29" s="836"/>
      <c r="D29" s="664" t="s">
        <v>821</v>
      </c>
      <c r="E29" s="837">
        <v>1.0</v>
      </c>
      <c r="F29" s="402">
        <f t="shared" si="4"/>
        <v>80340</v>
      </c>
      <c r="G29" s="838">
        <f t="shared" ref="G29:G38" si="6">I29*H29</f>
        <v>80340</v>
      </c>
      <c r="H29" s="839">
        <f>'OM Assumptions'!$C$7</f>
        <v>2000</v>
      </c>
      <c r="I29" s="840">
        <f>I8*(1+'OM Assumptions'!$F$4)</f>
        <v>40.17</v>
      </c>
    </row>
    <row r="30" ht="15.0" customHeight="1">
      <c r="C30" s="842"/>
      <c r="D30" s="242" t="s">
        <v>822</v>
      </c>
      <c r="E30" s="843">
        <v>1.0</v>
      </c>
      <c r="F30" s="311">
        <f t="shared" si="4"/>
        <v>80340</v>
      </c>
      <c r="G30" s="336">
        <f t="shared" si="6"/>
        <v>80340</v>
      </c>
      <c r="H30" s="497">
        <f>'OM Assumptions'!$C$7</f>
        <v>2000</v>
      </c>
      <c r="I30" s="844">
        <f>I9*(1+'OM Assumptions'!$F$4)</f>
        <v>40.17</v>
      </c>
    </row>
    <row r="31" ht="15.0" customHeight="1">
      <c r="C31" s="842"/>
      <c r="D31" s="242" t="s">
        <v>823</v>
      </c>
      <c r="E31" s="843">
        <v>1.0</v>
      </c>
      <c r="F31" s="311">
        <f t="shared" si="4"/>
        <v>72100</v>
      </c>
      <c r="G31" s="336">
        <f t="shared" si="6"/>
        <v>72100</v>
      </c>
      <c r="H31" s="497">
        <f>'OM Assumptions'!$C$7</f>
        <v>2000</v>
      </c>
      <c r="I31" s="844">
        <f>I10*(1+'OM Assumptions'!$F$4)</f>
        <v>36.05</v>
      </c>
    </row>
    <row r="32" ht="15.0" customHeight="1">
      <c r="C32" s="842"/>
      <c r="D32" s="242" t="s">
        <v>825</v>
      </c>
      <c r="E32" s="843">
        <v>1.0</v>
      </c>
      <c r="F32" s="311">
        <f t="shared" si="4"/>
        <v>72100</v>
      </c>
      <c r="G32" s="336">
        <f t="shared" si="6"/>
        <v>72100</v>
      </c>
      <c r="H32" s="497">
        <f>'OM Assumptions'!$C$7</f>
        <v>2000</v>
      </c>
      <c r="I32" s="844">
        <f>I11*(1+'OM Assumptions'!$F$4)</f>
        <v>36.05</v>
      </c>
    </row>
    <row r="33" ht="15.0" customHeight="1">
      <c r="C33" s="848"/>
      <c r="D33" s="246" t="s">
        <v>826</v>
      </c>
      <c r="E33" s="832">
        <v>1.0</v>
      </c>
      <c r="F33" s="511">
        <f t="shared" si="4"/>
        <v>41200</v>
      </c>
      <c r="G33" s="339">
        <f t="shared" si="6"/>
        <v>41200</v>
      </c>
      <c r="H33" s="502">
        <f>'OM Assumptions'!$C$7</f>
        <v>2000</v>
      </c>
      <c r="I33" s="833">
        <f>I12*(1+'OM Assumptions'!$F$4)</f>
        <v>20.6</v>
      </c>
    </row>
    <row r="34" ht="15.0" customHeight="1">
      <c r="C34" s="849"/>
      <c r="D34" s="664" t="s">
        <v>827</v>
      </c>
      <c r="E34" s="837">
        <v>1.0</v>
      </c>
      <c r="F34" s="402">
        <f t="shared" si="4"/>
        <v>51500</v>
      </c>
      <c r="G34" s="838">
        <f t="shared" si="6"/>
        <v>51500</v>
      </c>
      <c r="H34" s="839">
        <f>'OM Assumptions'!$C$7</f>
        <v>2000</v>
      </c>
      <c r="I34" s="840">
        <f>I13*(1+'OM Assumptions'!$F$4)</f>
        <v>25.75</v>
      </c>
    </row>
    <row r="35" ht="15.0" customHeight="1">
      <c r="C35" s="850"/>
      <c r="D35" s="242" t="s">
        <v>828</v>
      </c>
      <c r="E35" s="843">
        <v>1.0</v>
      </c>
      <c r="F35" s="311">
        <f t="shared" si="4"/>
        <v>51500</v>
      </c>
      <c r="G35" s="336">
        <f t="shared" si="6"/>
        <v>51500</v>
      </c>
      <c r="H35" s="497">
        <f>'OM Assumptions'!$C$7</f>
        <v>2000</v>
      </c>
      <c r="I35" s="844">
        <f>I14*(1+'OM Assumptions'!$F$4)</f>
        <v>25.75</v>
      </c>
    </row>
    <row r="36" ht="15.0" customHeight="1">
      <c r="C36" s="877"/>
      <c r="D36" s="246" t="s">
        <v>829</v>
      </c>
      <c r="E36" s="832">
        <v>1.0</v>
      </c>
      <c r="F36" s="511">
        <f t="shared" si="4"/>
        <v>51500</v>
      </c>
      <c r="G36" s="339">
        <f t="shared" si="6"/>
        <v>51500</v>
      </c>
      <c r="H36" s="502">
        <f>'OM Assumptions'!$C$7</f>
        <v>2000</v>
      </c>
      <c r="I36" s="833">
        <f>I15*(1+'OM Assumptions'!$F$4)</f>
        <v>25.75</v>
      </c>
    </row>
    <row r="37" ht="15.0" customHeight="1">
      <c r="C37" s="852"/>
      <c r="D37" s="853" t="s">
        <v>830</v>
      </c>
      <c r="E37" s="854">
        <v>1.0</v>
      </c>
      <c r="F37" s="855">
        <f t="shared" si="4"/>
        <v>51500</v>
      </c>
      <c r="G37" s="856">
        <f t="shared" si="6"/>
        <v>51500</v>
      </c>
      <c r="H37" s="857">
        <f>'OM Assumptions'!$C$7</f>
        <v>2000</v>
      </c>
      <c r="I37" s="858">
        <f>I16*(1+'OM Assumptions'!$F$4)</f>
        <v>25.75</v>
      </c>
    </row>
    <row r="38" ht="15.0" customHeight="1">
      <c r="C38" s="859"/>
      <c r="D38" s="878" t="s">
        <v>831</v>
      </c>
      <c r="E38" s="860">
        <v>1.0</v>
      </c>
      <c r="F38" s="861">
        <f t="shared" si="4"/>
        <v>61594</v>
      </c>
      <c r="G38" s="862">
        <f t="shared" si="6"/>
        <v>61594</v>
      </c>
      <c r="H38" s="863">
        <f>'OM Assumptions'!$C$7</f>
        <v>2000</v>
      </c>
      <c r="I38" s="864">
        <f>I17*(1+'OM Assumptions'!$F$4)</f>
        <v>30.797</v>
      </c>
    </row>
    <row r="39" ht="15.0" customHeight="1">
      <c r="C39" s="872" t="s">
        <v>832</v>
      </c>
      <c r="D39" s="879" t="s">
        <v>833</v>
      </c>
      <c r="E39" s="880" t="s">
        <v>838</v>
      </c>
      <c r="F39" s="868">
        <f>SUM(F27:F38)</f>
        <v>668845.2449</v>
      </c>
    </row>
    <row r="40" ht="15.0" customHeight="1">
      <c r="C40" s="869">
        <f>SUM(E27+E28)</f>
        <v>2</v>
      </c>
      <c r="D40" s="881">
        <f>SUM(E27:E38)</f>
        <v>12</v>
      </c>
      <c r="E40" s="681" t="s">
        <v>132</v>
      </c>
      <c r="F40" s="871">
        <f>F39/'MK Sales Projections'!D14</f>
        <v>8.236561071</v>
      </c>
    </row>
    <row r="41">
      <c r="C41" s="872" t="s">
        <v>835</v>
      </c>
    </row>
    <row r="42">
      <c r="C42" s="869">
        <f>SUM(E29,E30,E36,E32)</f>
        <v>4</v>
      </c>
    </row>
    <row r="43" ht="15.0" customHeight="1">
      <c r="C43" s="872" t="s">
        <v>839</v>
      </c>
    </row>
    <row r="44" ht="15.0" customHeight="1">
      <c r="C44" s="869">
        <f>SUM(E31,E33,E34,E35,E37,E38)</f>
        <v>6</v>
      </c>
    </row>
    <row r="46" ht="15.0" customHeight="1">
      <c r="D46" s="199" t="s">
        <v>840</v>
      </c>
      <c r="E46" s="397"/>
      <c r="F46" s="364"/>
      <c r="G46" s="364"/>
      <c r="H46" s="364"/>
      <c r="I46" s="364" t="s">
        <v>809</v>
      </c>
    </row>
    <row r="47" ht="15.0" customHeight="1">
      <c r="C47" s="56" t="s">
        <v>810</v>
      </c>
      <c r="D47" s="57" t="s">
        <v>811</v>
      </c>
      <c r="E47" s="57" t="s">
        <v>812</v>
      </c>
      <c r="F47" s="57" t="s">
        <v>813</v>
      </c>
      <c r="G47" s="57" t="s">
        <v>814</v>
      </c>
      <c r="H47" s="57" t="s">
        <v>815</v>
      </c>
      <c r="I47" s="58" t="s">
        <v>816</v>
      </c>
    </row>
    <row r="48" ht="15.0" customHeight="1">
      <c r="C48" s="882"/>
      <c r="D48" s="664" t="s">
        <v>818</v>
      </c>
      <c r="E48" s="837">
        <v>1.0</v>
      </c>
      <c r="F48" s="402">
        <f t="shared" ref="F48:F61" si="7">E48*G48</f>
        <v>35031.76678</v>
      </c>
      <c r="G48" s="838">
        <f>'MK Sales Projections'!E16*'OM Assumptions'!$F$3</f>
        <v>35031.76678</v>
      </c>
      <c r="H48" s="839">
        <f>'OM Assumptions'!$C$7</f>
        <v>2000</v>
      </c>
      <c r="I48" s="883">
        <f t="shared" ref="I48:I50" si="8">G48/H48</f>
        <v>17.51588339</v>
      </c>
    </row>
    <row r="49" ht="15.0" customHeight="1">
      <c r="C49" s="884"/>
      <c r="D49" s="242" t="s">
        <v>841</v>
      </c>
      <c r="E49" s="843">
        <v>1.0</v>
      </c>
      <c r="F49" s="311">
        <f t="shared" si="7"/>
        <v>35031.76678</v>
      </c>
      <c r="G49" s="336">
        <f>'MK Sales Projections'!E16*'OM Assumptions'!$F$3</f>
        <v>35031.76678</v>
      </c>
      <c r="H49" s="497">
        <f>'OM Assumptions'!$C$7</f>
        <v>2000</v>
      </c>
      <c r="I49" s="885">
        <f t="shared" si="8"/>
        <v>17.51588339</v>
      </c>
    </row>
    <row r="50" ht="15.0" customHeight="1">
      <c r="C50" s="886"/>
      <c r="D50" s="246" t="s">
        <v>820</v>
      </c>
      <c r="E50" s="832">
        <v>1.0</v>
      </c>
      <c r="F50" s="511">
        <f t="shared" si="7"/>
        <v>35031.76678</v>
      </c>
      <c r="G50" s="339">
        <f>'MK Sales Projections'!E16*'OM Assumptions'!$F$3</f>
        <v>35031.76678</v>
      </c>
      <c r="H50" s="502">
        <f>'OM Assumptions'!$C$7</f>
        <v>2000</v>
      </c>
      <c r="I50" s="887">
        <f t="shared" si="8"/>
        <v>17.51588339</v>
      </c>
    </row>
    <row r="51" ht="15.0" customHeight="1">
      <c r="C51" s="888"/>
      <c r="D51" s="664" t="s">
        <v>821</v>
      </c>
      <c r="E51" s="837">
        <v>1.0</v>
      </c>
      <c r="F51" s="402">
        <f t="shared" si="7"/>
        <v>82750.2</v>
      </c>
      <c r="G51" s="838">
        <f t="shared" ref="G51:G61" si="9">I51*H51</f>
        <v>82750.2</v>
      </c>
      <c r="H51" s="839">
        <f>'OM Assumptions'!$C$7</f>
        <v>2000</v>
      </c>
      <c r="I51" s="883">
        <f>I29*(1+'OM Assumptions'!$F$4)</f>
        <v>41.3751</v>
      </c>
    </row>
    <row r="52" ht="15.0" customHeight="1">
      <c r="C52" s="889"/>
      <c r="D52" s="242" t="s">
        <v>822</v>
      </c>
      <c r="E52" s="843">
        <v>1.0</v>
      </c>
      <c r="F52" s="311">
        <f t="shared" si="7"/>
        <v>82750.2</v>
      </c>
      <c r="G52" s="336">
        <f t="shared" si="9"/>
        <v>82750.2</v>
      </c>
      <c r="H52" s="497">
        <f>'OM Assumptions'!$C$7</f>
        <v>2000</v>
      </c>
      <c r="I52" s="885">
        <f>I30*(1+'OM Assumptions'!$F$4)</f>
        <v>41.3751</v>
      </c>
    </row>
    <row r="53" ht="15.0" customHeight="1">
      <c r="C53" s="889"/>
      <c r="D53" s="242" t="s">
        <v>823</v>
      </c>
      <c r="E53" s="843">
        <v>1.0</v>
      </c>
      <c r="F53" s="311">
        <f t="shared" si="7"/>
        <v>74263</v>
      </c>
      <c r="G53" s="336">
        <f t="shared" si="9"/>
        <v>74263</v>
      </c>
      <c r="H53" s="497">
        <f>'OM Assumptions'!$C$7</f>
        <v>2000</v>
      </c>
      <c r="I53" s="885">
        <f>I31*(1+'OM Assumptions'!$F$4)</f>
        <v>37.1315</v>
      </c>
    </row>
    <row r="54" ht="15.0" customHeight="1">
      <c r="C54" s="889"/>
      <c r="D54" s="242" t="s">
        <v>842</v>
      </c>
      <c r="E54" s="843">
        <v>1.0</v>
      </c>
      <c r="F54" s="311">
        <f t="shared" si="7"/>
        <v>63000</v>
      </c>
      <c r="G54" s="336">
        <f t="shared" si="9"/>
        <v>63000</v>
      </c>
      <c r="H54" s="497">
        <f>'OM Assumptions'!$C$7</f>
        <v>2000</v>
      </c>
      <c r="I54" s="885">
        <v>31.5</v>
      </c>
    </row>
    <row r="55" ht="15.0" customHeight="1">
      <c r="C55" s="890"/>
      <c r="D55" s="246" t="s">
        <v>826</v>
      </c>
      <c r="E55" s="832">
        <v>1.0</v>
      </c>
      <c r="F55" s="511">
        <f t="shared" si="7"/>
        <v>42436</v>
      </c>
      <c r="G55" s="339">
        <f t="shared" si="9"/>
        <v>42436</v>
      </c>
      <c r="H55" s="502">
        <f>'OM Assumptions'!$C$7</f>
        <v>2000</v>
      </c>
      <c r="I55" s="887">
        <f>I33*(1+'OM Assumptions'!$F$4)</f>
        <v>21.218</v>
      </c>
    </row>
    <row r="56" ht="15.0" customHeight="1">
      <c r="C56" s="891"/>
      <c r="D56" s="664" t="s">
        <v>827</v>
      </c>
      <c r="E56" s="837">
        <v>1.0</v>
      </c>
      <c r="F56" s="402">
        <f t="shared" si="7"/>
        <v>53045</v>
      </c>
      <c r="G56" s="838">
        <f t="shared" si="9"/>
        <v>53045</v>
      </c>
      <c r="H56" s="839">
        <f>'OM Assumptions'!$C$7</f>
        <v>2000</v>
      </c>
      <c r="I56" s="883">
        <f>I34*(1+'OM Assumptions'!$F$4)</f>
        <v>26.5225</v>
      </c>
    </row>
    <row r="57" ht="15.0" customHeight="1">
      <c r="C57" s="892"/>
      <c r="D57" s="242" t="s">
        <v>828</v>
      </c>
      <c r="E57" s="843">
        <v>1.0</v>
      </c>
      <c r="F57" s="311">
        <f t="shared" si="7"/>
        <v>53045</v>
      </c>
      <c r="G57" s="336">
        <f t="shared" si="9"/>
        <v>53045</v>
      </c>
      <c r="H57" s="497">
        <f>'OM Assumptions'!$C$7</f>
        <v>2000</v>
      </c>
      <c r="I57" s="885">
        <f>I35*(1+'OM Assumptions'!$F$4)</f>
        <v>26.5225</v>
      </c>
    </row>
    <row r="58" ht="15.0" customHeight="1">
      <c r="C58" s="893"/>
      <c r="D58" s="246" t="s">
        <v>829</v>
      </c>
      <c r="E58" s="832">
        <v>1.0</v>
      </c>
      <c r="F58" s="511">
        <f t="shared" si="7"/>
        <v>53045</v>
      </c>
      <c r="G58" s="339">
        <f t="shared" si="9"/>
        <v>53045</v>
      </c>
      <c r="H58" s="502">
        <f>'OM Assumptions'!$C$7</f>
        <v>2000</v>
      </c>
      <c r="I58" s="887">
        <f>I36*(1+'OM Assumptions'!$F$4)</f>
        <v>26.5225</v>
      </c>
    </row>
    <row r="59" ht="15.0" customHeight="1">
      <c r="C59" s="894"/>
      <c r="D59" s="853" t="s">
        <v>830</v>
      </c>
      <c r="E59" s="854">
        <v>2.0</v>
      </c>
      <c r="F59" s="855">
        <f t="shared" si="7"/>
        <v>106090</v>
      </c>
      <c r="G59" s="856">
        <f t="shared" si="9"/>
        <v>53045</v>
      </c>
      <c r="H59" s="857">
        <f>'OM Assumptions'!$C$7</f>
        <v>2000</v>
      </c>
      <c r="I59" s="895">
        <f>I37*(1+'OM Assumptions'!$F$4)</f>
        <v>26.5225</v>
      </c>
    </row>
    <row r="60" ht="15.0" customHeight="1">
      <c r="C60" s="896"/>
      <c r="D60" s="242" t="s">
        <v>831</v>
      </c>
      <c r="E60" s="843">
        <v>1.0</v>
      </c>
      <c r="F60" s="311">
        <f t="shared" si="7"/>
        <v>63441.82</v>
      </c>
      <c r="G60" s="336">
        <f t="shared" si="9"/>
        <v>63441.82</v>
      </c>
      <c r="H60" s="497">
        <f>'OM Assumptions'!$C$7</f>
        <v>2000</v>
      </c>
      <c r="I60" s="885">
        <f>I38*(1+'OM Assumptions'!$F$4)</f>
        <v>31.72091</v>
      </c>
    </row>
    <row r="61" ht="15.0" customHeight="1">
      <c r="C61" s="897"/>
      <c r="D61" s="246" t="s">
        <v>843</v>
      </c>
      <c r="E61" s="898">
        <v>1.0</v>
      </c>
      <c r="F61" s="339">
        <f t="shared" si="7"/>
        <v>71000</v>
      </c>
      <c r="G61" s="339">
        <f t="shared" si="9"/>
        <v>71000</v>
      </c>
      <c r="H61" s="899">
        <f>'OM Assumptions'!$C$7</f>
        <v>2000</v>
      </c>
      <c r="I61" s="887">
        <v>35.5</v>
      </c>
    </row>
    <row r="62" ht="15.0" customHeight="1">
      <c r="C62" s="872" t="s">
        <v>832</v>
      </c>
      <c r="D62" s="879" t="s">
        <v>833</v>
      </c>
      <c r="E62" s="237" t="s">
        <v>844</v>
      </c>
      <c r="F62" s="900">
        <f>SUM(F48:F61)</f>
        <v>849961.5203</v>
      </c>
    </row>
    <row r="63" ht="15.0" customHeight="1">
      <c r="C63" s="869">
        <f>SUM(E48:E50)</f>
        <v>3</v>
      </c>
      <c r="D63" s="881">
        <f>SUM(E48:E61)</f>
        <v>15</v>
      </c>
      <c r="E63" s="681" t="s">
        <v>132</v>
      </c>
      <c r="F63" s="871">
        <f>F62/'MK Sales Projections'!F14</f>
        <v>5.329833362</v>
      </c>
    </row>
    <row r="64">
      <c r="C64" s="872" t="s">
        <v>835</v>
      </c>
    </row>
    <row r="65">
      <c r="C65" s="869">
        <f>SUM(E51,E52,E58)</f>
        <v>3</v>
      </c>
    </row>
    <row r="66">
      <c r="C66" s="872" t="s">
        <v>839</v>
      </c>
    </row>
    <row r="67">
      <c r="C67" s="869">
        <f>SUM(E53,E54,E55,E56,E57,E59,E60,E61)</f>
        <v>9</v>
      </c>
    </row>
    <row r="69" ht="15.0" customHeight="1">
      <c r="D69" s="199" t="s">
        <v>845</v>
      </c>
      <c r="E69" s="397"/>
      <c r="F69" s="364"/>
      <c r="G69" s="364"/>
      <c r="H69" s="364"/>
      <c r="I69" s="364" t="s">
        <v>809</v>
      </c>
    </row>
    <row r="70" ht="15.0" customHeight="1">
      <c r="C70" s="56" t="s">
        <v>810</v>
      </c>
      <c r="D70" s="57" t="s">
        <v>811</v>
      </c>
      <c r="E70" s="57" t="s">
        <v>812</v>
      </c>
      <c r="F70" s="57" t="s">
        <v>813</v>
      </c>
      <c r="G70" s="57" t="s">
        <v>814</v>
      </c>
      <c r="H70" s="57" t="s">
        <v>815</v>
      </c>
      <c r="I70" s="58" t="s">
        <v>816</v>
      </c>
    </row>
    <row r="71" ht="15.0" customHeight="1">
      <c r="C71" s="882"/>
      <c r="D71" s="664" t="s">
        <v>818</v>
      </c>
      <c r="E71" s="837">
        <v>1.0</v>
      </c>
      <c r="F71" s="402">
        <f t="shared" ref="F71:F85" si="10">E71*G71</f>
        <v>50407.46574</v>
      </c>
      <c r="G71" s="838">
        <f>'MK Sales Projections'!F16*'OM Assumptions'!$F$3</f>
        <v>50407.46574</v>
      </c>
      <c r="H71" s="839">
        <f>'OM Assumptions'!$C$7</f>
        <v>2000</v>
      </c>
      <c r="I71" s="883">
        <f t="shared" ref="I71:I73" si="11">G71/H71</f>
        <v>25.20373287</v>
      </c>
    </row>
    <row r="72" ht="15.0" customHeight="1">
      <c r="C72" s="884"/>
      <c r="D72" s="242" t="s">
        <v>841</v>
      </c>
      <c r="E72" s="843">
        <v>1.0</v>
      </c>
      <c r="F72" s="311">
        <f t="shared" si="10"/>
        <v>50407.46574</v>
      </c>
      <c r="G72" s="336">
        <f>'MK Sales Projections'!F16*'OM Assumptions'!$F$3</f>
        <v>50407.46574</v>
      </c>
      <c r="H72" s="497">
        <f>'OM Assumptions'!$C$7</f>
        <v>2000</v>
      </c>
      <c r="I72" s="885">
        <f t="shared" si="11"/>
        <v>25.20373287</v>
      </c>
    </row>
    <row r="73" ht="15.0" customHeight="1">
      <c r="C73" s="886"/>
      <c r="D73" s="246" t="s">
        <v>820</v>
      </c>
      <c r="E73" s="832">
        <v>1.0</v>
      </c>
      <c r="F73" s="511">
        <f t="shared" si="10"/>
        <v>50407.46574</v>
      </c>
      <c r="G73" s="339">
        <f>'MK Sales Projections'!F16*'OM Assumptions'!$F$3</f>
        <v>50407.46574</v>
      </c>
      <c r="H73" s="502">
        <f>'OM Assumptions'!$C$7</f>
        <v>2000</v>
      </c>
      <c r="I73" s="887">
        <f t="shared" si="11"/>
        <v>25.20373287</v>
      </c>
    </row>
    <row r="74" ht="15.0" customHeight="1">
      <c r="C74" s="888"/>
      <c r="D74" s="664" t="s">
        <v>821</v>
      </c>
      <c r="E74" s="837">
        <v>1.0</v>
      </c>
      <c r="F74" s="402">
        <f t="shared" si="10"/>
        <v>85232.706</v>
      </c>
      <c r="G74" s="838">
        <f t="shared" ref="G74:G85" si="12">I74*H74</f>
        <v>85232.706</v>
      </c>
      <c r="H74" s="839">
        <f>'OM Assumptions'!$C$7</f>
        <v>2000</v>
      </c>
      <c r="I74" s="883">
        <f>I51*(1+'OM Assumptions'!$F$4)</f>
        <v>42.616353</v>
      </c>
    </row>
    <row r="75" ht="15.0" customHeight="1">
      <c r="C75" s="889"/>
      <c r="D75" s="242" t="s">
        <v>822</v>
      </c>
      <c r="E75" s="843">
        <v>1.0</v>
      </c>
      <c r="F75" s="311">
        <f t="shared" si="10"/>
        <v>85232.706</v>
      </c>
      <c r="G75" s="336">
        <f t="shared" si="12"/>
        <v>85232.706</v>
      </c>
      <c r="H75" s="497">
        <f>'OM Assumptions'!$C$7</f>
        <v>2000</v>
      </c>
      <c r="I75" s="885">
        <f>I52*(1+'OM Assumptions'!$F$4)</f>
        <v>42.616353</v>
      </c>
    </row>
    <row r="76" ht="15.0" customHeight="1">
      <c r="C76" s="889"/>
      <c r="D76" s="242" t="s">
        <v>823</v>
      </c>
      <c r="E76" s="843">
        <v>1.0</v>
      </c>
      <c r="F76" s="311">
        <f t="shared" si="10"/>
        <v>76490.89</v>
      </c>
      <c r="G76" s="336">
        <f t="shared" si="12"/>
        <v>76490.89</v>
      </c>
      <c r="H76" s="497">
        <f>'OM Assumptions'!$C$7</f>
        <v>2000</v>
      </c>
      <c r="I76" s="885">
        <f>I53*(1+'OM Assumptions'!$F$4)</f>
        <v>38.245445</v>
      </c>
    </row>
    <row r="77" ht="15.0" customHeight="1">
      <c r="C77" s="889"/>
      <c r="D77" s="242" t="s">
        <v>842</v>
      </c>
      <c r="E77" s="843">
        <v>1.0</v>
      </c>
      <c r="F77" s="311">
        <f t="shared" si="10"/>
        <v>64890</v>
      </c>
      <c r="G77" s="336">
        <f t="shared" si="12"/>
        <v>64890</v>
      </c>
      <c r="H77" s="497">
        <f>'OM Assumptions'!$C$7</f>
        <v>2000</v>
      </c>
      <c r="I77" s="885">
        <f>I54*(1+'OM Assumptions'!$F$4)</f>
        <v>32.445</v>
      </c>
    </row>
    <row r="78" ht="15.0" customHeight="1">
      <c r="C78" s="890"/>
      <c r="D78" s="246" t="s">
        <v>826</v>
      </c>
      <c r="E78" s="832">
        <v>2.0</v>
      </c>
      <c r="F78" s="511">
        <f t="shared" si="10"/>
        <v>87418.16</v>
      </c>
      <c r="G78" s="339">
        <f t="shared" si="12"/>
        <v>43709.08</v>
      </c>
      <c r="H78" s="502">
        <f>'OM Assumptions'!$C$7</f>
        <v>2000</v>
      </c>
      <c r="I78" s="887">
        <f>I55*(1+'OM Assumptions'!$F$4)</f>
        <v>21.85454</v>
      </c>
    </row>
    <row r="79" ht="15.0" customHeight="1">
      <c r="C79" s="891"/>
      <c r="D79" s="664" t="s">
        <v>827</v>
      </c>
      <c r="E79" s="837">
        <v>1.0</v>
      </c>
      <c r="F79" s="402">
        <f t="shared" si="10"/>
        <v>54636.35</v>
      </c>
      <c r="G79" s="838">
        <f t="shared" si="12"/>
        <v>54636.35</v>
      </c>
      <c r="H79" s="839">
        <f>'OM Assumptions'!$C$7</f>
        <v>2000</v>
      </c>
      <c r="I79" s="883">
        <f>I56*(1+'OM Assumptions'!$F$4)</f>
        <v>27.318175</v>
      </c>
    </row>
    <row r="80" ht="15.0" customHeight="1">
      <c r="C80" s="892"/>
      <c r="D80" s="242" t="s">
        <v>828</v>
      </c>
      <c r="E80" s="843">
        <v>1.0</v>
      </c>
      <c r="F80" s="311">
        <f t="shared" si="10"/>
        <v>54636.35</v>
      </c>
      <c r="G80" s="336">
        <f t="shared" si="12"/>
        <v>54636.35</v>
      </c>
      <c r="H80" s="497">
        <f>'OM Assumptions'!$C$7</f>
        <v>2000</v>
      </c>
      <c r="I80" s="885">
        <f>I57*(1+'OM Assumptions'!$F$4)</f>
        <v>27.318175</v>
      </c>
    </row>
    <row r="81" ht="15.0" customHeight="1">
      <c r="C81" s="892"/>
      <c r="D81" s="242" t="s">
        <v>846</v>
      </c>
      <c r="E81" s="843">
        <v>1.0</v>
      </c>
      <c r="F81" s="311">
        <f t="shared" si="10"/>
        <v>64400</v>
      </c>
      <c r="G81" s="336">
        <f t="shared" si="12"/>
        <v>64400</v>
      </c>
      <c r="H81" s="497">
        <f>'OM Assumptions'!$C$7</f>
        <v>2000</v>
      </c>
      <c r="I81" s="885">
        <v>32.2</v>
      </c>
    </row>
    <row r="82" ht="15.0" customHeight="1">
      <c r="C82" s="893"/>
      <c r="D82" s="246" t="s">
        <v>829</v>
      </c>
      <c r="E82" s="832">
        <v>1.0</v>
      </c>
      <c r="F82" s="511">
        <f t="shared" si="10"/>
        <v>54636.35</v>
      </c>
      <c r="G82" s="339">
        <f t="shared" si="12"/>
        <v>54636.35</v>
      </c>
      <c r="H82" s="502">
        <f>'OM Assumptions'!$C$7</f>
        <v>2000</v>
      </c>
      <c r="I82" s="887">
        <f>I58*(1+'OM Assumptions'!$F$4)</f>
        <v>27.318175</v>
      </c>
    </row>
    <row r="83" ht="15.0" customHeight="1">
      <c r="C83" s="894"/>
      <c r="D83" s="853" t="s">
        <v>830</v>
      </c>
      <c r="E83" s="854">
        <v>2.0</v>
      </c>
      <c r="F83" s="855">
        <f t="shared" si="10"/>
        <v>109272.7</v>
      </c>
      <c r="G83" s="856">
        <f t="shared" si="12"/>
        <v>54636.35</v>
      </c>
      <c r="H83" s="857">
        <f>'OM Assumptions'!$C$7</f>
        <v>2000</v>
      </c>
      <c r="I83" s="895">
        <f>I59*(1+'OM Assumptions'!$F$4)</f>
        <v>27.318175</v>
      </c>
    </row>
    <row r="84" ht="15.0" customHeight="1">
      <c r="C84" s="896"/>
      <c r="D84" s="242" t="s">
        <v>831</v>
      </c>
      <c r="E84" s="843">
        <v>1.0</v>
      </c>
      <c r="F84" s="311">
        <f t="shared" si="10"/>
        <v>65345.0746</v>
      </c>
      <c r="G84" s="336">
        <f t="shared" si="12"/>
        <v>65345.0746</v>
      </c>
      <c r="H84" s="497">
        <f>'OM Assumptions'!$C$7</f>
        <v>2000</v>
      </c>
      <c r="I84" s="885">
        <f>I60*(1+'OM Assumptions'!$F$4)</f>
        <v>32.6725373</v>
      </c>
    </row>
    <row r="85" ht="15.0" customHeight="1">
      <c r="C85" s="897"/>
      <c r="D85" s="246" t="s">
        <v>843</v>
      </c>
      <c r="E85" s="898">
        <v>1.0</v>
      </c>
      <c r="F85" s="339">
        <f t="shared" si="10"/>
        <v>73130</v>
      </c>
      <c r="G85" s="339">
        <f t="shared" si="12"/>
        <v>73130</v>
      </c>
      <c r="H85" s="899">
        <f>'OM Assumptions'!$C$7</f>
        <v>2000</v>
      </c>
      <c r="I85" s="887">
        <f>I61*(1+'OM Assumptions'!$F$4)</f>
        <v>36.565</v>
      </c>
    </row>
    <row r="86" ht="15.0" customHeight="1">
      <c r="C86" s="872" t="s">
        <v>832</v>
      </c>
      <c r="D86" s="879" t="s">
        <v>833</v>
      </c>
      <c r="E86" s="237" t="s">
        <v>847</v>
      </c>
      <c r="F86" s="900">
        <f>SUM(F71:F85)</f>
        <v>1026543.684</v>
      </c>
    </row>
    <row r="87" ht="15.0" customHeight="1">
      <c r="C87" s="869">
        <f>SUM(E71:E73)</f>
        <v>3</v>
      </c>
      <c r="D87" s="881">
        <f>SUM(E71:E85)</f>
        <v>17</v>
      </c>
      <c r="E87" s="681" t="s">
        <v>132</v>
      </c>
      <c r="F87" s="871">
        <f>F86/'MK Sales Projections'!F14</f>
        <v>6.437122908</v>
      </c>
    </row>
    <row r="88">
      <c r="C88" s="872" t="s">
        <v>835</v>
      </c>
    </row>
    <row r="89">
      <c r="C89" s="869">
        <f>SUM(E74,E75,E81,E82)</f>
        <v>4</v>
      </c>
    </row>
    <row r="90">
      <c r="C90" s="872" t="s">
        <v>839</v>
      </c>
    </row>
    <row r="91" ht="15.0" customHeight="1">
      <c r="C91" s="869">
        <f>SUM(E76,E77,E78,E79,E80,E83,E84,E85)</f>
        <v>10</v>
      </c>
    </row>
    <row r="93" ht="15.0" customHeight="1">
      <c r="D93" s="199" t="s">
        <v>848</v>
      </c>
      <c r="E93" s="397"/>
      <c r="F93" s="364"/>
      <c r="G93" s="364"/>
      <c r="H93" s="364"/>
      <c r="I93" s="364" t="s">
        <v>809</v>
      </c>
    </row>
    <row r="94" ht="15.0" customHeight="1">
      <c r="C94" s="56" t="s">
        <v>810</v>
      </c>
      <c r="D94" s="57" t="s">
        <v>811</v>
      </c>
      <c r="E94" s="57" t="s">
        <v>812</v>
      </c>
      <c r="F94" s="57" t="s">
        <v>813</v>
      </c>
      <c r="G94" s="57" t="s">
        <v>814</v>
      </c>
      <c r="H94" s="57" t="s">
        <v>815</v>
      </c>
      <c r="I94" s="58" t="s">
        <v>816</v>
      </c>
    </row>
    <row r="95" ht="15.0" customHeight="1">
      <c r="C95" s="882"/>
      <c r="D95" s="664" t="s">
        <v>818</v>
      </c>
      <c r="E95" s="837">
        <v>1.0</v>
      </c>
      <c r="F95" s="402">
        <f t="shared" ref="F95:F112" si="13">E95*G95</f>
        <v>73862.04068</v>
      </c>
      <c r="G95" s="838">
        <f>'MK Sales Projections'!$G$16*'OM Assumptions'!$F$3</f>
        <v>73862.04068</v>
      </c>
      <c r="H95" s="839">
        <f>'OM Assumptions'!$C$7</f>
        <v>2000</v>
      </c>
      <c r="I95" s="883">
        <f t="shared" ref="I95:I98" si="14">G95/H95</f>
        <v>36.93102034</v>
      </c>
    </row>
    <row r="96" ht="15.0" customHeight="1">
      <c r="C96" s="884"/>
      <c r="D96" s="242" t="s">
        <v>841</v>
      </c>
      <c r="E96" s="843">
        <v>1.0</v>
      </c>
      <c r="F96" s="311">
        <f t="shared" si="13"/>
        <v>73862.04068</v>
      </c>
      <c r="G96" s="336">
        <f>'MK Sales Projections'!$G$16*'OM Assumptions'!$F$3</f>
        <v>73862.04068</v>
      </c>
      <c r="H96" s="497">
        <f>'OM Assumptions'!$C$7</f>
        <v>2000</v>
      </c>
      <c r="I96" s="885">
        <f t="shared" si="14"/>
        <v>36.93102034</v>
      </c>
    </row>
    <row r="97" ht="15.0" customHeight="1">
      <c r="C97" s="884"/>
      <c r="D97" s="242" t="s">
        <v>849</v>
      </c>
      <c r="E97" s="843">
        <v>1.0</v>
      </c>
      <c r="F97" s="311">
        <f t="shared" si="13"/>
        <v>73862.04068</v>
      </c>
      <c r="G97" s="336">
        <f>'MK Sales Projections'!$G$16*'OM Assumptions'!$F$3</f>
        <v>73862.04068</v>
      </c>
      <c r="H97" s="497">
        <f>'OM Assumptions'!$C$7</f>
        <v>2000</v>
      </c>
      <c r="I97" s="885">
        <f t="shared" si="14"/>
        <v>36.93102034</v>
      </c>
    </row>
    <row r="98" ht="15.0" customHeight="1">
      <c r="C98" s="884"/>
      <c r="D98" s="242" t="s">
        <v>820</v>
      </c>
      <c r="E98" s="843">
        <v>1.0</v>
      </c>
      <c r="F98" s="311">
        <f t="shared" si="13"/>
        <v>73862.04068</v>
      </c>
      <c r="G98" s="336">
        <f>'MK Sales Projections'!$G$16*'OM Assumptions'!$F$3</f>
        <v>73862.04068</v>
      </c>
      <c r="H98" s="497">
        <f>'OM Assumptions'!$C$7</f>
        <v>2000</v>
      </c>
      <c r="I98" s="885">
        <f t="shared" si="14"/>
        <v>36.93102034</v>
      </c>
    </row>
    <row r="99" ht="15.0" customHeight="1">
      <c r="C99" s="888"/>
      <c r="D99" s="664" t="s">
        <v>821</v>
      </c>
      <c r="E99" s="837">
        <v>1.0</v>
      </c>
      <c r="F99" s="402">
        <f t="shared" si="13"/>
        <v>87789.68718</v>
      </c>
      <c r="G99" s="838">
        <f t="shared" ref="G99:G112" si="15">I99*H99</f>
        <v>87789.68718</v>
      </c>
      <c r="H99" s="839">
        <f>'OM Assumptions'!$C$7</f>
        <v>2000</v>
      </c>
      <c r="I99" s="883">
        <f>I74*(1+'OM Assumptions'!$F$4)</f>
        <v>43.89484359</v>
      </c>
    </row>
    <row r="100" ht="15.0" customHeight="1">
      <c r="C100" s="889"/>
      <c r="D100" s="242" t="s">
        <v>822</v>
      </c>
      <c r="E100" s="843">
        <v>1.0</v>
      </c>
      <c r="F100" s="311">
        <f t="shared" si="13"/>
        <v>87789.68718</v>
      </c>
      <c r="G100" s="336">
        <f t="shared" si="15"/>
        <v>87789.68718</v>
      </c>
      <c r="H100" s="497">
        <f>'OM Assumptions'!$C$7</f>
        <v>2000</v>
      </c>
      <c r="I100" s="885">
        <f>I75*(1+'OM Assumptions'!$F$4)</f>
        <v>43.89484359</v>
      </c>
    </row>
    <row r="101" ht="15.0" customHeight="1">
      <c r="C101" s="889"/>
      <c r="D101" s="242" t="s">
        <v>823</v>
      </c>
      <c r="E101" s="843">
        <v>1.0</v>
      </c>
      <c r="F101" s="311">
        <f t="shared" si="13"/>
        <v>78785.6167</v>
      </c>
      <c r="G101" s="336">
        <f t="shared" si="15"/>
        <v>78785.6167</v>
      </c>
      <c r="H101" s="497">
        <f>'OM Assumptions'!$C$7</f>
        <v>2000</v>
      </c>
      <c r="I101" s="885">
        <f>I76*(1+'OM Assumptions'!$F$4)</f>
        <v>39.39280835</v>
      </c>
    </row>
    <row r="102" ht="15.0" customHeight="1">
      <c r="C102" s="889"/>
      <c r="D102" s="242" t="s">
        <v>842</v>
      </c>
      <c r="E102" s="843">
        <v>1.0</v>
      </c>
      <c r="F102" s="311">
        <f t="shared" si="13"/>
        <v>66836.7</v>
      </c>
      <c r="G102" s="336">
        <f t="shared" si="15"/>
        <v>66836.7</v>
      </c>
      <c r="H102" s="497">
        <f>'OM Assumptions'!$C$7</f>
        <v>2000</v>
      </c>
      <c r="I102" s="885">
        <f>I77*(1+'OM Assumptions'!$F$4)</f>
        <v>33.41835</v>
      </c>
    </row>
    <row r="103" ht="15.0" customHeight="1">
      <c r="C103" s="889"/>
      <c r="D103" s="242" t="s">
        <v>850</v>
      </c>
      <c r="E103" s="898">
        <v>1.0</v>
      </c>
      <c r="F103" s="336">
        <f t="shared" si="13"/>
        <v>63000</v>
      </c>
      <c r="G103" s="336">
        <f t="shared" si="15"/>
        <v>63000</v>
      </c>
      <c r="H103" s="901">
        <f>'OM Assumptions'!$C$7</f>
        <v>2000</v>
      </c>
      <c r="I103" s="885">
        <v>31.5</v>
      </c>
    </row>
    <row r="104" ht="15.0" customHeight="1">
      <c r="C104" s="889"/>
      <c r="D104" s="242" t="s">
        <v>825</v>
      </c>
      <c r="E104" s="843">
        <v>1.0</v>
      </c>
      <c r="F104" s="311">
        <f t="shared" si="13"/>
        <v>65000</v>
      </c>
      <c r="G104" s="336">
        <f t="shared" si="15"/>
        <v>65000</v>
      </c>
      <c r="H104" s="497">
        <f>'OM Assumptions'!$C$7</f>
        <v>2000</v>
      </c>
      <c r="I104" s="885">
        <v>32.5</v>
      </c>
    </row>
    <row r="105" ht="15.0" customHeight="1">
      <c r="C105" s="889"/>
      <c r="D105" s="242" t="s">
        <v>826</v>
      </c>
      <c r="E105" s="843">
        <v>2.0</v>
      </c>
      <c r="F105" s="311">
        <f t="shared" si="13"/>
        <v>90040.7048</v>
      </c>
      <c r="G105" s="336">
        <f t="shared" si="15"/>
        <v>45020.3524</v>
      </c>
      <c r="H105" s="497">
        <f>'OM Assumptions'!$C$7</f>
        <v>2000</v>
      </c>
      <c r="I105" s="885">
        <f>I78*(1+'OM Assumptions'!$F$4)</f>
        <v>22.5101762</v>
      </c>
    </row>
    <row r="106" ht="15.0" customHeight="1">
      <c r="C106" s="891"/>
      <c r="D106" s="664" t="s">
        <v>827</v>
      </c>
      <c r="E106" s="837">
        <v>2.0</v>
      </c>
      <c r="F106" s="402">
        <f t="shared" si="13"/>
        <v>112550.881</v>
      </c>
      <c r="G106" s="838">
        <f t="shared" si="15"/>
        <v>56275.4405</v>
      </c>
      <c r="H106" s="839">
        <f>'OM Assumptions'!$C$7</f>
        <v>2000</v>
      </c>
      <c r="I106" s="883">
        <f>I79*(1+'OM Assumptions'!$F$4)</f>
        <v>28.13772025</v>
      </c>
    </row>
    <row r="107" ht="15.0" customHeight="1">
      <c r="C107" s="892"/>
      <c r="D107" s="242" t="s">
        <v>828</v>
      </c>
      <c r="E107" s="843">
        <v>1.0</v>
      </c>
      <c r="F107" s="311">
        <f t="shared" si="13"/>
        <v>56275.4405</v>
      </c>
      <c r="G107" s="336">
        <f t="shared" si="15"/>
        <v>56275.4405</v>
      </c>
      <c r="H107" s="497">
        <f>'OM Assumptions'!$C$7</f>
        <v>2000</v>
      </c>
      <c r="I107" s="885">
        <f>I80*(1+'OM Assumptions'!$F$4)</f>
        <v>28.13772025</v>
      </c>
    </row>
    <row r="108" ht="15.0" customHeight="1">
      <c r="C108" s="892"/>
      <c r="D108" s="242" t="s">
        <v>846</v>
      </c>
      <c r="E108" s="843">
        <v>1.0</v>
      </c>
      <c r="F108" s="311">
        <f t="shared" si="13"/>
        <v>66332</v>
      </c>
      <c r="G108" s="336">
        <f t="shared" si="15"/>
        <v>66332</v>
      </c>
      <c r="H108" s="497">
        <f>'OM Assumptions'!$C$7</f>
        <v>2000</v>
      </c>
      <c r="I108" s="885">
        <f>I81*(1+'OM Assumptions'!$F$4)</f>
        <v>33.166</v>
      </c>
    </row>
    <row r="109" ht="15.0" customHeight="1">
      <c r="C109" s="892"/>
      <c r="D109" s="242" t="s">
        <v>829</v>
      </c>
      <c r="E109" s="843">
        <v>1.0</v>
      </c>
      <c r="F109" s="311">
        <f t="shared" si="13"/>
        <v>56275.4405</v>
      </c>
      <c r="G109" s="336">
        <f t="shared" si="15"/>
        <v>56275.4405</v>
      </c>
      <c r="H109" s="497">
        <f>'OM Assumptions'!$C$7</f>
        <v>2000</v>
      </c>
      <c r="I109" s="885">
        <f>I82*(1+'OM Assumptions'!$F$4)</f>
        <v>28.13772025</v>
      </c>
    </row>
    <row r="110" ht="15.0" customHeight="1">
      <c r="C110" s="894"/>
      <c r="D110" s="853" t="s">
        <v>830</v>
      </c>
      <c r="E110" s="854">
        <v>2.0</v>
      </c>
      <c r="F110" s="855">
        <f t="shared" si="13"/>
        <v>112550.881</v>
      </c>
      <c r="G110" s="856">
        <f t="shared" si="15"/>
        <v>56275.4405</v>
      </c>
      <c r="H110" s="857">
        <f>'OM Assumptions'!$C$7</f>
        <v>2000</v>
      </c>
      <c r="I110" s="895">
        <f>I83*(1+'OM Assumptions'!$F$4)</f>
        <v>28.13772025</v>
      </c>
    </row>
    <row r="111" ht="15.0" customHeight="1">
      <c r="C111" s="896"/>
      <c r="D111" s="242" t="s">
        <v>831</v>
      </c>
      <c r="E111" s="843">
        <v>1.0</v>
      </c>
      <c r="F111" s="311">
        <f t="shared" si="13"/>
        <v>67305.42684</v>
      </c>
      <c r="G111" s="336">
        <f t="shared" si="15"/>
        <v>67305.42684</v>
      </c>
      <c r="H111" s="497">
        <f>'OM Assumptions'!$C$7</f>
        <v>2000</v>
      </c>
      <c r="I111" s="885">
        <f>I84*(1+'OM Assumptions'!$F$4)</f>
        <v>33.65271342</v>
      </c>
    </row>
    <row r="112" ht="15.0" customHeight="1">
      <c r="C112" s="897"/>
      <c r="D112" s="902" t="s">
        <v>843</v>
      </c>
      <c r="E112" s="898">
        <v>1.0</v>
      </c>
      <c r="F112" s="339">
        <f t="shared" si="13"/>
        <v>75323.9</v>
      </c>
      <c r="G112" s="339">
        <f t="shared" si="15"/>
        <v>75323.9</v>
      </c>
      <c r="H112" s="899">
        <f>'OM Assumptions'!$C$7</f>
        <v>2000</v>
      </c>
      <c r="I112" s="887">
        <f>I85*(1+'OM Assumptions'!$F$4)</f>
        <v>37.66195</v>
      </c>
    </row>
    <row r="113" ht="15.0" customHeight="1">
      <c r="C113" s="903" t="s">
        <v>832</v>
      </c>
      <c r="D113" s="872" t="s">
        <v>833</v>
      </c>
      <c r="E113" s="904" t="s">
        <v>851</v>
      </c>
      <c r="F113" s="900">
        <f>SUM(F95:F112)</f>
        <v>1381304.528</v>
      </c>
    </row>
    <row r="114" ht="15.0" customHeight="1">
      <c r="C114" s="869">
        <f>SUM(E95:E98)</f>
        <v>4</v>
      </c>
      <c r="D114" s="881">
        <f>SUM(E95:E112)</f>
        <v>21</v>
      </c>
      <c r="E114" s="681" t="s">
        <v>132</v>
      </c>
      <c r="F114" s="871">
        <f>F113/'MK Sales Projections'!F14</f>
        <v>8.661713245</v>
      </c>
    </row>
    <row r="115">
      <c r="C115" s="872" t="s">
        <v>835</v>
      </c>
    </row>
    <row r="116">
      <c r="C116" s="869">
        <f>SUM(E99,E100,E104,E108,E109)</f>
        <v>5</v>
      </c>
    </row>
    <row r="117">
      <c r="C117" s="872" t="s">
        <v>839</v>
      </c>
    </row>
    <row r="118">
      <c r="C118" s="869">
        <f>SUM(E101,E102,E103,E105,E106,E107,E110,E111,E112)</f>
        <v>12</v>
      </c>
    </row>
  </sheetData>
  <mergeCells count="7">
    <mergeCell ref="D2:E2"/>
    <mergeCell ref="D4:E4"/>
    <mergeCell ref="K5:L5"/>
    <mergeCell ref="D25:E25"/>
    <mergeCell ref="D46:E46"/>
    <mergeCell ref="D69:E69"/>
    <mergeCell ref="D93:E93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26.88"/>
    <col customWidth="1" min="3" max="3" width="20.38"/>
    <col customWidth="1" min="4" max="4" width="19.38"/>
    <col customWidth="1" min="5" max="5" width="32.25"/>
    <col customWidth="1" min="6" max="6" width="31.63"/>
    <col customWidth="1" min="7" max="7" width="24.5"/>
    <col customWidth="1" min="8" max="8" width="6.0"/>
    <col customWidth="1" min="9" max="9" width="30.75"/>
    <col customWidth="1" min="10" max="10" width="8.63"/>
    <col customWidth="1" min="11" max="11" width="19.25"/>
    <col customWidth="1" min="12" max="12" width="26.38"/>
    <col customWidth="1" min="13" max="29" width="8.63"/>
  </cols>
  <sheetData>
    <row r="1" ht="14.25" customHeight="1"/>
    <row r="2" ht="14.25" customHeight="1">
      <c r="B2" s="1" t="s">
        <v>852</v>
      </c>
      <c r="C2" s="3"/>
    </row>
    <row r="3" ht="14.25" customHeight="1"/>
    <row r="4" ht="14.25" customHeight="1">
      <c r="B4" s="188" t="s">
        <v>32</v>
      </c>
    </row>
    <row r="5" ht="14.25" customHeight="1">
      <c r="B5" s="905" t="s">
        <v>853</v>
      </c>
      <c r="C5" s="906" t="s">
        <v>854</v>
      </c>
      <c r="D5" s="907" t="s">
        <v>855</v>
      </c>
      <c r="E5" s="908" t="s">
        <v>856</v>
      </c>
      <c r="F5" s="908" t="s">
        <v>857</v>
      </c>
      <c r="G5" s="908" t="s">
        <v>858</v>
      </c>
    </row>
    <row r="6" ht="14.25" customHeight="1">
      <c r="B6" s="216" t="s">
        <v>859</v>
      </c>
      <c r="C6" s="909">
        <v>30.0</v>
      </c>
      <c r="D6" s="910"/>
      <c r="E6" s="911">
        <v>1.0</v>
      </c>
      <c r="F6" s="912">
        <f>SUM(C6:C7)</f>
        <v>150</v>
      </c>
      <c r="G6" s="913" t="str">
        <f>IF(F6&gt;$I$7,"YES","NO")</f>
        <v>NO</v>
      </c>
      <c r="I6" s="188" t="s">
        <v>860</v>
      </c>
      <c r="K6" s="199" t="s">
        <v>817</v>
      </c>
      <c r="L6" s="397"/>
    </row>
    <row r="7" ht="14.25" customHeight="1">
      <c r="B7" s="216" t="s">
        <v>861</v>
      </c>
      <c r="C7" s="909">
        <v>120.0</v>
      </c>
      <c r="D7" s="914"/>
      <c r="E7" s="914"/>
      <c r="F7" s="914"/>
      <c r="G7" s="914"/>
      <c r="I7" s="668">
        <f>'OM Direct Materials &amp; Direct La'!D7</f>
        <v>152.4799038</v>
      </c>
      <c r="K7" s="915" t="s">
        <v>862</v>
      </c>
      <c r="L7" s="916"/>
    </row>
    <row r="8" ht="14.25" customHeight="1">
      <c r="B8" s="216" t="s">
        <v>863</v>
      </c>
      <c r="C8" s="909">
        <v>80.0</v>
      </c>
      <c r="D8" s="917"/>
      <c r="E8" s="911">
        <v>1.0</v>
      </c>
      <c r="F8" s="912">
        <f>SUM(C8:C9)</f>
        <v>120</v>
      </c>
      <c r="G8" s="913" t="str">
        <f>IF(F8&gt;$I$7,"YES","NO")</f>
        <v>NO</v>
      </c>
      <c r="K8" s="918" t="s">
        <v>864</v>
      </c>
      <c r="L8" s="919"/>
    </row>
    <row r="9" ht="14.25" customHeight="1">
      <c r="B9" s="216" t="s">
        <v>865</v>
      </c>
      <c r="C9" s="909">
        <v>40.0</v>
      </c>
      <c r="D9" s="914"/>
      <c r="E9" s="914"/>
      <c r="F9" s="914"/>
      <c r="G9" s="914"/>
      <c r="K9" s="918" t="s">
        <v>866</v>
      </c>
      <c r="L9" s="920"/>
    </row>
    <row r="10" ht="14.25" customHeight="1">
      <c r="B10" s="216" t="s">
        <v>867</v>
      </c>
      <c r="C10" s="909">
        <v>40.0</v>
      </c>
      <c r="D10" s="921"/>
      <c r="E10" s="911">
        <v>1.0</v>
      </c>
      <c r="F10" s="912">
        <f>SUM(C10:C11)</f>
        <v>120</v>
      </c>
      <c r="G10" s="913" t="str">
        <f>IF(F10&gt;$I$7,"YES","NO")</f>
        <v>NO</v>
      </c>
      <c r="I10" s="188" t="s">
        <v>868</v>
      </c>
      <c r="K10" s="918" t="s">
        <v>869</v>
      </c>
      <c r="L10" s="922"/>
    </row>
    <row r="11" ht="14.25" customHeight="1">
      <c r="B11" s="216" t="s">
        <v>870</v>
      </c>
      <c r="C11" s="909">
        <v>80.0</v>
      </c>
      <c r="D11" s="914"/>
      <c r="E11" s="914"/>
      <c r="F11" s="914"/>
      <c r="G11" s="914"/>
      <c r="I11" s="668">
        <v>4.0</v>
      </c>
      <c r="K11" s="918" t="s">
        <v>871</v>
      </c>
      <c r="L11" s="923"/>
    </row>
    <row r="12" ht="14.25" customHeight="1">
      <c r="B12" s="216" t="s">
        <v>872</v>
      </c>
      <c r="C12" s="909">
        <v>60.0</v>
      </c>
      <c r="D12" s="924"/>
      <c r="E12" s="925">
        <v>1.0</v>
      </c>
      <c r="F12" s="926">
        <f>C12/E12</f>
        <v>60</v>
      </c>
      <c r="G12" s="927" t="str">
        <f>IF(F12&gt;$I$7,"YES","NO")</f>
        <v>NO</v>
      </c>
      <c r="K12" s="918" t="s">
        <v>873</v>
      </c>
      <c r="L12" s="928"/>
    </row>
    <row r="13" ht="14.25" customHeight="1">
      <c r="B13" s="929" t="s">
        <v>874</v>
      </c>
      <c r="C13" s="930">
        <f>SUM(C6:C12)</f>
        <v>450</v>
      </c>
      <c r="D13" s="931" t="s">
        <v>699</v>
      </c>
      <c r="E13" s="932">
        <f t="shared" ref="E13:F13" si="1">SUM(E6:E12)</f>
        <v>4</v>
      </c>
      <c r="F13" s="933">
        <f t="shared" si="1"/>
        <v>450</v>
      </c>
      <c r="I13" s="188" t="s">
        <v>875</v>
      </c>
      <c r="K13" s="934" t="s">
        <v>876</v>
      </c>
      <c r="L13" s="935"/>
    </row>
    <row r="14" ht="13.5" customHeight="1">
      <c r="B14" s="936" t="s">
        <v>877</v>
      </c>
      <c r="C14" s="937">
        <f>MAX(C6:C12)</f>
        <v>120</v>
      </c>
      <c r="D14" s="914"/>
      <c r="E14" s="914"/>
      <c r="F14" s="914"/>
      <c r="I14" s="938">
        <f>F13/(I7*I11)</f>
        <v>0.7378021445</v>
      </c>
    </row>
    <row r="15" ht="14.25" customHeight="1"/>
    <row r="16" ht="14.25" customHeight="1">
      <c r="B16" s="188" t="s">
        <v>33</v>
      </c>
      <c r="K16" s="939"/>
    </row>
    <row r="17" ht="14.25" customHeight="1">
      <c r="B17" s="905" t="s">
        <v>853</v>
      </c>
      <c r="C17" s="906" t="s">
        <v>854</v>
      </c>
      <c r="D17" s="940" t="s">
        <v>855</v>
      </c>
      <c r="E17" s="908" t="s">
        <v>856</v>
      </c>
      <c r="F17" s="908" t="s">
        <v>857</v>
      </c>
      <c r="G17" s="908" t="s">
        <v>858</v>
      </c>
    </row>
    <row r="18" ht="14.25" customHeight="1">
      <c r="B18" s="216" t="s">
        <v>859</v>
      </c>
      <c r="C18" s="941">
        <v>30.0</v>
      </c>
      <c r="D18" s="942"/>
      <c r="E18" s="925">
        <v>1.0</v>
      </c>
      <c r="F18" s="925">
        <f t="shared" ref="F18:F19" si="2">C18/E18</f>
        <v>30</v>
      </c>
      <c r="G18" s="925" t="str">
        <f t="shared" ref="G18:G21" si="3">IF(F18&gt;$I$19,"YES","NO")</f>
        <v>NO</v>
      </c>
      <c r="I18" s="188" t="s">
        <v>860</v>
      </c>
    </row>
    <row r="19" ht="14.25" customHeight="1">
      <c r="B19" s="216" t="s">
        <v>861</v>
      </c>
      <c r="C19" s="941">
        <v>120.0</v>
      </c>
      <c r="D19" s="943"/>
      <c r="E19" s="925">
        <v>2.0</v>
      </c>
      <c r="F19" s="925">
        <f t="shared" si="2"/>
        <v>60</v>
      </c>
      <c r="G19" s="925" t="str">
        <f t="shared" si="3"/>
        <v>NO</v>
      </c>
      <c r="I19" s="668">
        <f>'OM Direct Materials &amp; Direct La'!E7</f>
        <v>88.66511374</v>
      </c>
    </row>
    <row r="20" ht="14.25" customHeight="1">
      <c r="B20" s="216" t="s">
        <v>863</v>
      </c>
      <c r="C20" s="909">
        <v>80.0</v>
      </c>
      <c r="D20" s="944"/>
      <c r="E20" s="945">
        <v>1.0</v>
      </c>
      <c r="F20" s="946">
        <f>SUM(C20)/E20</f>
        <v>80</v>
      </c>
      <c r="G20" s="925" t="str">
        <f t="shared" si="3"/>
        <v>NO</v>
      </c>
    </row>
    <row r="21" ht="14.25" customHeight="1">
      <c r="B21" s="216" t="s">
        <v>865</v>
      </c>
      <c r="C21" s="909">
        <v>40.0</v>
      </c>
      <c r="D21" s="947"/>
      <c r="E21" s="948">
        <v>1.0</v>
      </c>
      <c r="F21" s="911">
        <f>SUM(C21:C22)/E21</f>
        <v>80</v>
      </c>
      <c r="G21" s="911" t="str">
        <f t="shared" si="3"/>
        <v>NO</v>
      </c>
    </row>
    <row r="22" ht="14.25" customHeight="1">
      <c r="B22" s="216" t="s">
        <v>867</v>
      </c>
      <c r="C22" s="909">
        <v>40.0</v>
      </c>
      <c r="D22" s="949"/>
      <c r="E22" s="950"/>
      <c r="F22" s="951"/>
      <c r="G22" s="914"/>
      <c r="I22" s="188" t="s">
        <v>868</v>
      </c>
    </row>
    <row r="23" ht="14.25" customHeight="1">
      <c r="B23" s="216" t="s">
        <v>870</v>
      </c>
      <c r="C23" s="941">
        <v>80.0</v>
      </c>
      <c r="D23" s="952"/>
      <c r="E23" s="925">
        <v>1.0</v>
      </c>
      <c r="F23" s="925">
        <f>C23/E23</f>
        <v>80</v>
      </c>
      <c r="G23" s="925" t="str">
        <f t="shared" ref="G23:G24" si="4">IF(F23&gt;$I$19,"YES","NO")</f>
        <v>NO</v>
      </c>
      <c r="I23" s="668">
        <v>6.0</v>
      </c>
    </row>
    <row r="24" ht="14.25" customHeight="1">
      <c r="B24" s="216" t="s">
        <v>872</v>
      </c>
      <c r="C24" s="941">
        <v>60.0</v>
      </c>
      <c r="D24" s="953"/>
      <c r="E24" s="925">
        <v>1.0</v>
      </c>
      <c r="F24" s="925">
        <f>SUM(C24)/E24</f>
        <v>60</v>
      </c>
      <c r="G24" s="925" t="str">
        <f t="shared" si="4"/>
        <v>NO</v>
      </c>
    </row>
    <row r="25" ht="14.25" customHeight="1">
      <c r="B25" s="929" t="s">
        <v>874</v>
      </c>
      <c r="C25" s="930">
        <f>SUM(C18:C24)</f>
        <v>450</v>
      </c>
      <c r="D25" s="954" t="s">
        <v>878</v>
      </c>
      <c r="E25" s="955">
        <f t="shared" ref="E25:F25" si="5">SUM(E18:E24)</f>
        <v>7</v>
      </c>
      <c r="F25" s="955">
        <f t="shared" si="5"/>
        <v>390</v>
      </c>
      <c r="I25" s="188" t="s">
        <v>875</v>
      </c>
    </row>
    <row r="26" ht="14.25" customHeight="1">
      <c r="B26" s="936" t="s">
        <v>877</v>
      </c>
      <c r="C26" s="937">
        <f>C20</f>
        <v>80</v>
      </c>
      <c r="D26" s="914"/>
      <c r="E26" s="914"/>
      <c r="F26" s="914"/>
      <c r="I26" s="938">
        <f>F25/(I19*I23)</f>
        <v>0.7330955464</v>
      </c>
    </row>
    <row r="27" ht="14.25" customHeight="1"/>
    <row r="28" ht="14.25" customHeight="1">
      <c r="B28" s="188" t="s">
        <v>34</v>
      </c>
    </row>
    <row r="29" ht="14.25" customHeight="1">
      <c r="B29" s="905" t="s">
        <v>853</v>
      </c>
      <c r="C29" s="906" t="s">
        <v>854</v>
      </c>
      <c r="D29" s="907" t="s">
        <v>855</v>
      </c>
      <c r="E29" s="908" t="s">
        <v>856</v>
      </c>
      <c r="F29" s="908" t="s">
        <v>857</v>
      </c>
      <c r="G29" s="908" t="s">
        <v>858</v>
      </c>
    </row>
    <row r="30" ht="14.25" customHeight="1">
      <c r="B30" s="216" t="s">
        <v>859</v>
      </c>
      <c r="C30" s="909">
        <v>30.0</v>
      </c>
      <c r="D30" s="942"/>
      <c r="E30" s="956">
        <v>1.0</v>
      </c>
      <c r="F30" s="925">
        <f t="shared" ref="F30:F32" si="6">C30/E30</f>
        <v>30</v>
      </c>
      <c r="G30" s="925" t="str">
        <f t="shared" ref="G30:G36" si="7">IF(F30&gt;$I$31,"YES","NO")</f>
        <v>NO</v>
      </c>
      <c r="I30" s="188" t="s">
        <v>860</v>
      </c>
    </row>
    <row r="31" ht="14.25" customHeight="1">
      <c r="B31" s="216" t="s">
        <v>861</v>
      </c>
      <c r="C31" s="909">
        <v>120.0</v>
      </c>
      <c r="D31" s="957"/>
      <c r="E31" s="956">
        <v>2.0</v>
      </c>
      <c r="F31" s="925">
        <f t="shared" si="6"/>
        <v>60</v>
      </c>
      <c r="G31" s="925" t="str">
        <f t="shared" si="7"/>
        <v>NO</v>
      </c>
      <c r="I31" s="668">
        <f>'OM Direct Materials &amp; Direct La'!F7</f>
        <v>68.07639417</v>
      </c>
    </row>
    <row r="32" ht="14.25" customHeight="1">
      <c r="B32" s="216" t="s">
        <v>863</v>
      </c>
      <c r="C32" s="909">
        <v>80.0</v>
      </c>
      <c r="D32" s="958"/>
      <c r="E32" s="956">
        <v>2.0</v>
      </c>
      <c r="F32" s="959">
        <f t="shared" si="6"/>
        <v>40</v>
      </c>
      <c r="G32" s="925" t="str">
        <f t="shared" si="7"/>
        <v>NO</v>
      </c>
    </row>
    <row r="33" ht="14.25" customHeight="1">
      <c r="B33" s="216" t="s">
        <v>865</v>
      </c>
      <c r="C33" s="909">
        <v>40.0</v>
      </c>
      <c r="D33" s="924"/>
      <c r="E33" s="925">
        <v>1.0</v>
      </c>
      <c r="F33" s="925">
        <f>SUM(C33)/E33</f>
        <v>40</v>
      </c>
      <c r="G33" s="925" t="str">
        <f t="shared" si="7"/>
        <v>NO</v>
      </c>
    </row>
    <row r="34" ht="14.25" customHeight="1">
      <c r="B34" s="216" t="s">
        <v>867</v>
      </c>
      <c r="C34" s="909">
        <v>40.0</v>
      </c>
      <c r="D34" s="960"/>
      <c r="E34" s="961">
        <v>1.0</v>
      </c>
      <c r="F34" s="961">
        <f t="shared" ref="F34:F36" si="8">C34/E34</f>
        <v>40</v>
      </c>
      <c r="G34" s="925" t="str">
        <f t="shared" si="7"/>
        <v>NO</v>
      </c>
      <c r="I34" s="188" t="s">
        <v>868</v>
      </c>
    </row>
    <row r="35" ht="14.25" customHeight="1">
      <c r="B35" s="216" t="s">
        <v>870</v>
      </c>
      <c r="C35" s="909">
        <v>80.0</v>
      </c>
      <c r="D35" s="962"/>
      <c r="E35" s="925">
        <v>2.0</v>
      </c>
      <c r="F35" s="925">
        <f t="shared" si="8"/>
        <v>40</v>
      </c>
      <c r="G35" s="925" t="str">
        <f t="shared" si="7"/>
        <v>NO</v>
      </c>
      <c r="I35" s="668">
        <v>7.0</v>
      </c>
    </row>
    <row r="36" ht="14.25" customHeight="1">
      <c r="B36" s="216" t="s">
        <v>872</v>
      </c>
      <c r="C36" s="909">
        <v>60.0</v>
      </c>
      <c r="D36" s="963"/>
      <c r="E36" s="925">
        <v>1.0</v>
      </c>
      <c r="F36" s="925">
        <f t="shared" si="8"/>
        <v>60</v>
      </c>
      <c r="G36" s="925" t="str">
        <f t="shared" si="7"/>
        <v>NO</v>
      </c>
    </row>
    <row r="37" ht="14.25" customHeight="1">
      <c r="B37" s="929" t="s">
        <v>874</v>
      </c>
      <c r="C37" s="930">
        <f>SUM(C30:C36)</f>
        <v>450</v>
      </c>
      <c r="D37" s="931" t="s">
        <v>699</v>
      </c>
      <c r="E37" s="932">
        <f t="shared" ref="E37:F37" si="9">SUM(E30:E36)</f>
        <v>10</v>
      </c>
      <c r="F37" s="932">
        <f t="shared" si="9"/>
        <v>310</v>
      </c>
      <c r="I37" s="188" t="s">
        <v>875</v>
      </c>
    </row>
    <row r="38" ht="14.25" customHeight="1">
      <c r="B38" s="936" t="s">
        <v>877</v>
      </c>
      <c r="C38" s="937">
        <f>MAX(F30:F36)</f>
        <v>60</v>
      </c>
      <c r="D38" s="914"/>
      <c r="E38" s="914"/>
      <c r="F38" s="914"/>
      <c r="I38" s="938">
        <f>F37/(I31*I35)</f>
        <v>0.6505296707</v>
      </c>
    </row>
    <row r="39" ht="14.25" customHeight="1"/>
    <row r="40" ht="14.25" customHeight="1">
      <c r="B40" s="188" t="s">
        <v>35</v>
      </c>
    </row>
    <row r="41" ht="14.25" customHeight="1">
      <c r="B41" s="905" t="s">
        <v>853</v>
      </c>
      <c r="C41" s="906" t="s">
        <v>854</v>
      </c>
      <c r="D41" s="940" t="s">
        <v>855</v>
      </c>
      <c r="E41" s="908" t="s">
        <v>856</v>
      </c>
      <c r="F41" s="908" t="s">
        <v>857</v>
      </c>
      <c r="G41" s="908" t="s">
        <v>858</v>
      </c>
    </row>
    <row r="42" ht="14.25" customHeight="1">
      <c r="B42" s="216" t="s">
        <v>859</v>
      </c>
      <c r="C42" s="941">
        <v>30.0</v>
      </c>
      <c r="D42" s="942"/>
      <c r="E42" s="925">
        <v>1.0</v>
      </c>
      <c r="F42" s="925">
        <f t="shared" ref="F42:F48" si="10">C42/E42</f>
        <v>30</v>
      </c>
      <c r="G42" s="925" t="str">
        <f t="shared" ref="G42:G48" si="11">IF(F42&gt;$I$43,"YES","NO")</f>
        <v>NO</v>
      </c>
      <c r="I42" s="188" t="s">
        <v>860</v>
      </c>
    </row>
    <row r="43" ht="14.25" customHeight="1">
      <c r="B43" s="216" t="s">
        <v>861</v>
      </c>
      <c r="C43" s="941">
        <v>120.0</v>
      </c>
      <c r="D43" s="964"/>
      <c r="E43" s="925">
        <v>3.0</v>
      </c>
      <c r="F43" s="925">
        <f t="shared" si="10"/>
        <v>40</v>
      </c>
      <c r="G43" s="925" t="str">
        <f t="shared" si="11"/>
        <v>NO</v>
      </c>
      <c r="I43" s="668">
        <f>'OM Direct Materials &amp; Direct La'!G7</f>
        <v>45.14886767</v>
      </c>
    </row>
    <row r="44" ht="14.25" customHeight="1">
      <c r="B44" s="216" t="s">
        <v>863</v>
      </c>
      <c r="C44" s="941">
        <v>80.0</v>
      </c>
      <c r="D44" s="965"/>
      <c r="E44" s="959">
        <v>2.0</v>
      </c>
      <c r="F44" s="959">
        <f t="shared" si="10"/>
        <v>40</v>
      </c>
      <c r="G44" s="925" t="str">
        <f t="shared" si="11"/>
        <v>NO</v>
      </c>
    </row>
    <row r="45" ht="14.25" customHeight="1">
      <c r="B45" s="216" t="s">
        <v>865</v>
      </c>
      <c r="C45" s="966">
        <v>40.0</v>
      </c>
      <c r="D45" s="967"/>
      <c r="E45" s="925">
        <v>1.0</v>
      </c>
      <c r="F45" s="959">
        <f t="shared" si="10"/>
        <v>40</v>
      </c>
      <c r="G45" s="925" t="str">
        <f t="shared" si="11"/>
        <v>NO</v>
      </c>
    </row>
    <row r="46" ht="14.25" customHeight="1">
      <c r="B46" s="216" t="s">
        <v>867</v>
      </c>
      <c r="C46" s="941">
        <v>40.0</v>
      </c>
      <c r="D46" s="960"/>
      <c r="E46" s="925">
        <v>1.0</v>
      </c>
      <c r="F46" s="959">
        <f t="shared" si="10"/>
        <v>40</v>
      </c>
      <c r="G46" s="925" t="str">
        <f t="shared" si="11"/>
        <v>NO</v>
      </c>
      <c r="I46" s="188" t="s">
        <v>868</v>
      </c>
    </row>
    <row r="47" ht="14.25" customHeight="1">
      <c r="B47" s="216" t="s">
        <v>870</v>
      </c>
      <c r="C47" s="941">
        <v>80.0</v>
      </c>
      <c r="D47" s="968"/>
      <c r="E47" s="959">
        <v>2.0</v>
      </c>
      <c r="F47" s="959">
        <f t="shared" si="10"/>
        <v>40</v>
      </c>
      <c r="G47" s="925" t="str">
        <f t="shared" si="11"/>
        <v>NO</v>
      </c>
      <c r="I47" s="668">
        <v>7.0</v>
      </c>
    </row>
    <row r="48" ht="14.25" customHeight="1">
      <c r="B48" s="216" t="s">
        <v>872</v>
      </c>
      <c r="C48" s="941">
        <v>60.0</v>
      </c>
      <c r="D48" s="969"/>
      <c r="E48" s="925">
        <v>2.0</v>
      </c>
      <c r="F48" s="959">
        <f t="shared" si="10"/>
        <v>30</v>
      </c>
      <c r="G48" s="925" t="str">
        <f t="shared" si="11"/>
        <v>NO</v>
      </c>
    </row>
    <row r="49" ht="14.25" customHeight="1">
      <c r="B49" s="929" t="s">
        <v>874</v>
      </c>
      <c r="C49" s="930">
        <f>SUM(C42:C48)</f>
        <v>450</v>
      </c>
      <c r="D49" s="954" t="s">
        <v>699</v>
      </c>
      <c r="E49" s="955">
        <f t="shared" ref="E49:F49" si="12">SUM(E42:E48)</f>
        <v>12</v>
      </c>
      <c r="F49" s="932">
        <f t="shared" si="12"/>
        <v>260</v>
      </c>
      <c r="I49" s="188" t="s">
        <v>875</v>
      </c>
      <c r="J49" s="786"/>
      <c r="K49" s="786"/>
    </row>
    <row r="50" ht="14.25" customHeight="1">
      <c r="B50" s="936" t="s">
        <v>877</v>
      </c>
      <c r="C50" s="970">
        <f>MAX(F41:F48)</f>
        <v>40</v>
      </c>
      <c r="D50" s="914"/>
      <c r="E50" s="914"/>
      <c r="F50" s="914"/>
      <c r="I50" s="938">
        <f>F49/(I43*I47)</f>
        <v>0.8226752754</v>
      </c>
      <c r="J50" s="786"/>
    </row>
    <row r="51" ht="14.25" customHeight="1"/>
    <row r="52" ht="14.25" customHeight="1">
      <c r="B52" s="188" t="s">
        <v>36</v>
      </c>
    </row>
    <row r="53" ht="14.25" customHeight="1">
      <c r="B53" s="905" t="s">
        <v>853</v>
      </c>
      <c r="C53" s="971" t="s">
        <v>854</v>
      </c>
      <c r="D53" s="940" t="s">
        <v>855</v>
      </c>
      <c r="E53" s="908" t="s">
        <v>856</v>
      </c>
      <c r="F53" s="908" t="s">
        <v>857</v>
      </c>
      <c r="G53" s="908" t="s">
        <v>858</v>
      </c>
    </row>
    <row r="54" ht="14.25" customHeight="1">
      <c r="B54" s="216" t="s">
        <v>859</v>
      </c>
      <c r="C54" s="941">
        <v>30.0</v>
      </c>
      <c r="D54" s="942"/>
      <c r="E54" s="925">
        <v>1.0</v>
      </c>
      <c r="F54" s="972">
        <f t="shared" ref="F54:F60" si="13">C54/E54</f>
        <v>30</v>
      </c>
      <c r="G54" s="925" t="str">
        <f t="shared" ref="G54:G60" si="14">IF(F54&gt;$I$55,"YES","NO")</f>
        <v>NO</v>
      </c>
      <c r="I54" s="188" t="s">
        <v>860</v>
      </c>
    </row>
    <row r="55" ht="14.25" customHeight="1">
      <c r="B55" s="216" t="s">
        <v>861</v>
      </c>
      <c r="C55" s="941">
        <v>120.0</v>
      </c>
      <c r="D55" s="964"/>
      <c r="E55" s="959">
        <v>4.0</v>
      </c>
      <c r="F55" s="972">
        <f t="shared" si="13"/>
        <v>30</v>
      </c>
      <c r="G55" s="925" t="str">
        <f t="shared" si="14"/>
        <v>NO</v>
      </c>
      <c r="I55" s="668">
        <f>'OM Direct Materials &amp; Direct La'!H7</f>
        <v>30.16001155</v>
      </c>
    </row>
    <row r="56" ht="14.25" customHeight="1">
      <c r="B56" s="216" t="s">
        <v>863</v>
      </c>
      <c r="C56" s="941">
        <v>80.0</v>
      </c>
      <c r="D56" s="973"/>
      <c r="E56" s="959">
        <v>3.0</v>
      </c>
      <c r="F56" s="974">
        <f t="shared" si="13"/>
        <v>26.66666667</v>
      </c>
      <c r="G56" s="925" t="str">
        <f t="shared" si="14"/>
        <v>NO</v>
      </c>
    </row>
    <row r="57" ht="14.25" customHeight="1">
      <c r="B57" s="216" t="s">
        <v>865</v>
      </c>
      <c r="C57" s="941">
        <v>40.0</v>
      </c>
      <c r="D57" s="967"/>
      <c r="E57" s="959">
        <v>2.0</v>
      </c>
      <c r="F57" s="974">
        <f t="shared" si="13"/>
        <v>20</v>
      </c>
      <c r="G57" s="925" t="str">
        <f t="shared" si="14"/>
        <v>NO</v>
      </c>
    </row>
    <row r="58" ht="14.25" customHeight="1">
      <c r="B58" s="216" t="s">
        <v>867</v>
      </c>
      <c r="C58" s="941">
        <v>40.0</v>
      </c>
      <c r="D58" s="975"/>
      <c r="E58" s="959">
        <v>2.0</v>
      </c>
      <c r="F58" s="974">
        <f t="shared" si="13"/>
        <v>20</v>
      </c>
      <c r="G58" s="925" t="str">
        <f t="shared" si="14"/>
        <v>NO</v>
      </c>
      <c r="I58" s="188" t="s">
        <v>868</v>
      </c>
    </row>
    <row r="59" ht="14.25" customHeight="1">
      <c r="B59" s="216" t="s">
        <v>870</v>
      </c>
      <c r="C59" s="941">
        <v>80.0</v>
      </c>
      <c r="D59" s="962"/>
      <c r="E59" s="959">
        <v>3.0</v>
      </c>
      <c r="F59" s="974">
        <f t="shared" si="13"/>
        <v>26.66666667</v>
      </c>
      <c r="G59" s="925" t="str">
        <f t="shared" si="14"/>
        <v>NO</v>
      </c>
      <c r="I59" s="668">
        <v>7.0</v>
      </c>
    </row>
    <row r="60" ht="14.25" customHeight="1">
      <c r="B60" s="216" t="s">
        <v>872</v>
      </c>
      <c r="C60" s="941">
        <v>60.0</v>
      </c>
      <c r="D60" s="969"/>
      <c r="E60" s="959">
        <v>2.0</v>
      </c>
      <c r="F60" s="974">
        <f t="shared" si="13"/>
        <v>30</v>
      </c>
      <c r="G60" s="925" t="str">
        <f t="shared" si="14"/>
        <v>NO</v>
      </c>
    </row>
    <row r="61" ht="14.25" customHeight="1">
      <c r="B61" s="929" t="s">
        <v>874</v>
      </c>
      <c r="C61" s="930">
        <f>SUM(C54:C60)</f>
        <v>450</v>
      </c>
      <c r="D61" s="976" t="s">
        <v>699</v>
      </c>
      <c r="E61" s="955">
        <f t="shared" ref="E61:F61" si="15">SUM(E54:E60)</f>
        <v>17</v>
      </c>
      <c r="F61" s="977">
        <f t="shared" si="15"/>
        <v>183.3333333</v>
      </c>
      <c r="I61" s="188" t="s">
        <v>875</v>
      </c>
      <c r="J61" s="786"/>
      <c r="K61" s="786"/>
      <c r="L61" s="786"/>
      <c r="M61" s="786"/>
      <c r="N61" s="786"/>
    </row>
    <row r="62" ht="14.25" customHeight="1">
      <c r="B62" s="936" t="s">
        <v>877</v>
      </c>
      <c r="C62" s="970">
        <f>MAX(F54:F60)</f>
        <v>30</v>
      </c>
      <c r="D62" s="914"/>
      <c r="E62" s="914"/>
      <c r="F62" s="914"/>
      <c r="I62" s="938">
        <f>F61/(I55*I59)</f>
        <v>0.8683841566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2">
    <mergeCell ref="B2:C2"/>
    <mergeCell ref="D6:D7"/>
    <mergeCell ref="E6:E7"/>
    <mergeCell ref="F6:F7"/>
    <mergeCell ref="G6:G7"/>
    <mergeCell ref="K6:L6"/>
    <mergeCell ref="D8:D9"/>
    <mergeCell ref="G8:G9"/>
    <mergeCell ref="E8:E9"/>
    <mergeCell ref="F8:F9"/>
    <mergeCell ref="D10:D11"/>
    <mergeCell ref="E10:E11"/>
    <mergeCell ref="F10:F11"/>
    <mergeCell ref="G10:G11"/>
    <mergeCell ref="D13:D14"/>
    <mergeCell ref="E13:E14"/>
    <mergeCell ref="F13:F14"/>
    <mergeCell ref="E21:E22"/>
    <mergeCell ref="F21:F22"/>
    <mergeCell ref="G21:G22"/>
    <mergeCell ref="E25:E26"/>
    <mergeCell ref="F25:F26"/>
    <mergeCell ref="D61:D62"/>
    <mergeCell ref="E61:E62"/>
    <mergeCell ref="F61:F62"/>
    <mergeCell ref="D25:D26"/>
    <mergeCell ref="D37:D38"/>
    <mergeCell ref="E37:E38"/>
    <mergeCell ref="F37:F38"/>
    <mergeCell ref="D49:D50"/>
    <mergeCell ref="E49:E50"/>
    <mergeCell ref="F49:F50"/>
  </mergeCells>
  <conditionalFormatting sqref="G6:G12">
    <cfRule type="containsText" dxfId="10" priority="1" operator="containsText" text="YES">
      <formula>NOT(ISERROR(SEARCH(("YES"),(G6))))</formula>
    </cfRule>
  </conditionalFormatting>
  <conditionalFormatting sqref="G6:G12">
    <cfRule type="containsText" dxfId="2" priority="2" operator="containsText" text="NO">
      <formula>NOT(ISERROR(SEARCH(("NO"),(G6))))</formula>
    </cfRule>
  </conditionalFormatting>
  <conditionalFormatting sqref="G18:G24 G30:G36 G42:G48 G54:G60">
    <cfRule type="containsText" dxfId="2" priority="3" operator="containsText" text="NO">
      <formula>NOT(ISERROR(SEARCH(("NO"),(G18))))</formula>
    </cfRule>
  </conditionalFormatting>
  <conditionalFormatting sqref="G18:G24 G30:G36 G42:G48 G54:G60">
    <cfRule type="containsText" dxfId="11" priority="4" operator="containsText" text="YES">
      <formula>NOT(ISERROR(SEARCH(("YES"),(G18))))</formula>
    </cfRule>
  </conditionalFormatting>
  <conditionalFormatting sqref="I38">
    <cfRule type="containsText" dxfId="12" priority="5" operator="containsText" text="NO">
      <formula>NOT(ISERROR(SEARCH(("NO"),(I38))))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11" max="11" width="24.25"/>
    <col customWidth="1" min="12" max="12" width="18.25"/>
    <col customWidth="1" min="13" max="13" width="17.13"/>
    <col customWidth="1" min="14" max="14" width="31.63"/>
    <col customWidth="1" min="15" max="15" width="27.25"/>
  </cols>
  <sheetData>
    <row r="2">
      <c r="B2" s="978" t="s">
        <v>879</v>
      </c>
      <c r="C2" s="979"/>
      <c r="D2" s="979"/>
      <c r="E2" s="979"/>
      <c r="F2" s="979"/>
      <c r="G2" s="979"/>
      <c r="H2" s="979"/>
      <c r="I2" s="980"/>
      <c r="J2" s="161"/>
      <c r="K2" s="981" t="s">
        <v>817</v>
      </c>
      <c r="L2" s="397"/>
      <c r="M2" s="982"/>
      <c r="N2" s="161"/>
      <c r="O2" s="161"/>
    </row>
    <row r="3">
      <c r="B3" s="161"/>
      <c r="C3" s="161"/>
      <c r="D3" s="161"/>
      <c r="E3" s="161"/>
      <c r="F3" s="161"/>
      <c r="G3" s="161"/>
      <c r="H3" s="161"/>
      <c r="I3" s="161"/>
      <c r="J3" s="161"/>
      <c r="K3" s="915" t="s">
        <v>862</v>
      </c>
      <c r="L3" s="983"/>
      <c r="M3" s="982"/>
      <c r="N3" s="161"/>
      <c r="O3" s="161"/>
    </row>
    <row r="4">
      <c r="B4" s="161"/>
      <c r="C4" s="161"/>
      <c r="D4" s="161"/>
      <c r="E4" s="161"/>
      <c r="F4" s="161"/>
      <c r="G4" s="161"/>
      <c r="H4" s="161"/>
      <c r="I4" s="161"/>
      <c r="J4" s="161"/>
      <c r="K4" s="918" t="s">
        <v>864</v>
      </c>
      <c r="L4" s="984"/>
      <c r="M4" s="982"/>
      <c r="N4" s="161"/>
      <c r="O4" s="985"/>
    </row>
    <row r="5">
      <c r="B5" s="161"/>
      <c r="C5" s="161"/>
      <c r="D5" s="161"/>
      <c r="E5" s="161"/>
      <c r="F5" s="161"/>
      <c r="G5" s="161"/>
      <c r="H5" s="161"/>
      <c r="I5" s="161"/>
      <c r="J5" s="161"/>
      <c r="K5" s="918" t="s">
        <v>866</v>
      </c>
      <c r="L5" s="986"/>
      <c r="M5" s="982"/>
      <c r="N5" s="161"/>
      <c r="O5" s="985"/>
    </row>
    <row r="6">
      <c r="B6" s="161"/>
      <c r="C6" s="161"/>
      <c r="D6" s="161"/>
      <c r="E6" s="161"/>
      <c r="F6" s="161"/>
      <c r="G6" s="161"/>
      <c r="H6" s="161"/>
      <c r="I6" s="161"/>
      <c r="J6" s="161"/>
      <c r="K6" s="934" t="s">
        <v>869</v>
      </c>
      <c r="L6" s="987"/>
      <c r="M6" s="982"/>
      <c r="N6" s="161"/>
      <c r="O6" s="985"/>
    </row>
    <row r="7">
      <c r="B7" s="161"/>
      <c r="C7" s="161"/>
      <c r="D7" s="161"/>
      <c r="E7" s="161"/>
      <c r="F7" s="161"/>
      <c r="G7" s="161"/>
      <c r="H7" s="161"/>
      <c r="I7" s="161"/>
      <c r="J7" s="161"/>
      <c r="K7" s="985"/>
      <c r="L7" s="985"/>
      <c r="M7" s="982"/>
      <c r="N7" s="161"/>
      <c r="O7" s="985"/>
    </row>
    <row r="8">
      <c r="B8" s="161"/>
      <c r="C8" s="161"/>
      <c r="D8" s="161"/>
      <c r="E8" s="161"/>
      <c r="F8" s="161"/>
      <c r="G8" s="161"/>
      <c r="H8" s="161"/>
      <c r="I8" s="161"/>
      <c r="J8" s="161"/>
      <c r="K8" s="988" t="s">
        <v>32</v>
      </c>
      <c r="L8" s="985"/>
      <c r="M8" s="161"/>
      <c r="N8" s="161"/>
      <c r="O8" s="985"/>
    </row>
    <row r="9" ht="15.0" customHeight="1">
      <c r="B9" s="161"/>
      <c r="C9" s="161"/>
      <c r="D9" s="161"/>
      <c r="E9" s="161"/>
      <c r="F9" s="161"/>
      <c r="G9" s="161"/>
      <c r="H9" s="161"/>
      <c r="I9" s="161"/>
      <c r="J9" s="161"/>
      <c r="K9" s="989" t="s">
        <v>853</v>
      </c>
      <c r="L9" s="990" t="s">
        <v>854</v>
      </c>
      <c r="M9" s="907" t="s">
        <v>855</v>
      </c>
      <c r="N9" s="908" t="s">
        <v>856</v>
      </c>
      <c r="O9" s="991" t="s">
        <v>857</v>
      </c>
    </row>
    <row r="10">
      <c r="B10" s="161"/>
      <c r="C10" s="161"/>
      <c r="D10" s="161"/>
      <c r="E10" s="161"/>
      <c r="F10" s="161"/>
      <c r="G10" s="161"/>
      <c r="H10" s="161"/>
      <c r="I10" s="161"/>
      <c r="J10" s="161"/>
      <c r="K10" s="447" t="s">
        <v>859</v>
      </c>
      <c r="L10" s="992">
        <v>30.0</v>
      </c>
      <c r="M10" s="993"/>
      <c r="N10" s="994">
        <v>1.0</v>
      </c>
      <c r="O10" s="995">
        <v>150.0</v>
      </c>
    </row>
    <row r="11">
      <c r="B11" s="161"/>
      <c r="C11" s="161"/>
      <c r="D11" s="161"/>
      <c r="E11" s="161"/>
      <c r="F11" s="161"/>
      <c r="G11" s="161"/>
      <c r="H11" s="161"/>
      <c r="I11" s="161"/>
      <c r="J11" s="161"/>
      <c r="K11" s="444" t="s">
        <v>861</v>
      </c>
      <c r="L11" s="941">
        <v>120.0</v>
      </c>
      <c r="M11" s="996"/>
      <c r="N11" s="914"/>
      <c r="O11" s="914"/>
    </row>
    <row r="12">
      <c r="B12" s="161"/>
      <c r="C12" s="161"/>
      <c r="D12" s="161"/>
      <c r="E12" s="161"/>
      <c r="F12" s="161"/>
      <c r="G12" s="161"/>
      <c r="H12" s="161"/>
      <c r="I12" s="161"/>
      <c r="J12" s="161"/>
      <c r="K12" s="444" t="s">
        <v>863</v>
      </c>
      <c r="L12" s="941">
        <v>80.0</v>
      </c>
      <c r="M12" s="997"/>
      <c r="N12" s="994">
        <v>1.0</v>
      </c>
      <c r="O12" s="995">
        <v>120.0</v>
      </c>
    </row>
    <row r="13">
      <c r="B13" s="161"/>
      <c r="C13" s="161"/>
      <c r="D13" s="161"/>
      <c r="E13" s="161"/>
      <c r="F13" s="161"/>
      <c r="G13" s="161"/>
      <c r="H13" s="161"/>
      <c r="I13" s="161"/>
      <c r="J13" s="161"/>
      <c r="K13" s="444" t="s">
        <v>865</v>
      </c>
      <c r="L13" s="941">
        <v>40.0</v>
      </c>
      <c r="M13" s="996"/>
      <c r="N13" s="914"/>
      <c r="O13" s="914"/>
    </row>
    <row r="14">
      <c r="B14" s="161"/>
      <c r="C14" s="161"/>
      <c r="D14" s="161"/>
      <c r="E14" s="161"/>
      <c r="F14" s="161"/>
      <c r="G14" s="161"/>
      <c r="H14" s="161"/>
      <c r="I14" s="161"/>
      <c r="J14" s="161"/>
      <c r="K14" s="444" t="s">
        <v>867</v>
      </c>
      <c r="L14" s="941">
        <v>40.0</v>
      </c>
      <c r="M14" s="998"/>
      <c r="N14" s="994">
        <v>1.0</v>
      </c>
      <c r="O14" s="995">
        <v>120.0</v>
      </c>
    </row>
    <row r="15">
      <c r="B15" s="161"/>
      <c r="C15" s="161"/>
      <c r="D15" s="161"/>
      <c r="E15" s="161"/>
      <c r="F15" s="161"/>
      <c r="G15" s="161"/>
      <c r="H15" s="161"/>
      <c r="I15" s="161"/>
      <c r="J15" s="161"/>
      <c r="K15" s="444" t="s">
        <v>870</v>
      </c>
      <c r="L15" s="941">
        <v>80.0</v>
      </c>
      <c r="M15" s="996"/>
      <c r="N15" s="914"/>
      <c r="O15" s="914"/>
    </row>
    <row r="16">
      <c r="B16" s="161"/>
      <c r="C16" s="161"/>
      <c r="D16" s="161"/>
      <c r="E16" s="161"/>
      <c r="F16" s="161"/>
      <c r="G16" s="161"/>
      <c r="H16" s="161"/>
      <c r="I16" s="161"/>
      <c r="J16" s="161"/>
      <c r="K16" s="459" t="s">
        <v>872</v>
      </c>
      <c r="L16" s="999">
        <v>60.0</v>
      </c>
      <c r="M16" s="1000"/>
      <c r="N16" s="959">
        <v>1.0</v>
      </c>
      <c r="O16" s="1001">
        <v>60.0</v>
      </c>
    </row>
    <row r="17">
      <c r="B17" s="161"/>
      <c r="C17" s="161"/>
      <c r="D17" s="161"/>
      <c r="E17" s="161"/>
      <c r="F17" s="161"/>
      <c r="G17" s="161"/>
      <c r="H17" s="161"/>
      <c r="I17" s="161"/>
      <c r="J17" s="161"/>
      <c r="K17" s="1002" t="s">
        <v>874</v>
      </c>
      <c r="L17" s="1003">
        <v>450.0</v>
      </c>
      <c r="M17" s="1004" t="s">
        <v>699</v>
      </c>
      <c r="N17" s="1005">
        <v>4.0</v>
      </c>
      <c r="O17" s="1006">
        <v>450.0</v>
      </c>
    </row>
    <row r="18">
      <c r="B18" s="161"/>
      <c r="C18" s="161"/>
      <c r="D18" s="161"/>
      <c r="E18" s="161"/>
      <c r="F18" s="161"/>
      <c r="G18" s="161"/>
      <c r="H18" s="161"/>
      <c r="I18" s="161"/>
      <c r="J18" s="161"/>
      <c r="K18" s="1007" t="s">
        <v>877</v>
      </c>
      <c r="L18" s="937">
        <v>120.0</v>
      </c>
      <c r="M18" s="914"/>
      <c r="N18" s="914"/>
      <c r="O18" s="914"/>
    </row>
    <row r="19"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</row>
    <row r="20">
      <c r="B20" s="161"/>
      <c r="C20" s="161"/>
      <c r="D20" s="161"/>
      <c r="E20" s="161"/>
      <c r="F20" s="161"/>
      <c r="G20" s="161"/>
      <c r="H20" s="161"/>
      <c r="I20" s="161"/>
      <c r="J20" s="161"/>
      <c r="K20" s="1008" t="s">
        <v>860</v>
      </c>
      <c r="L20" s="161"/>
      <c r="M20" s="161"/>
      <c r="N20" s="161"/>
      <c r="O20" s="161"/>
    </row>
    <row r="21">
      <c r="B21" s="161"/>
      <c r="C21" s="161"/>
      <c r="D21" s="161"/>
      <c r="E21" s="161"/>
      <c r="F21" s="161"/>
      <c r="G21" s="161"/>
      <c r="H21" s="161"/>
      <c r="I21" s="161"/>
      <c r="J21" s="161"/>
      <c r="K21" s="668">
        <f>'OM Process Flow'!I7</f>
        <v>152.4799038</v>
      </c>
      <c r="L21" s="161"/>
      <c r="M21" s="161"/>
      <c r="N21" s="161"/>
      <c r="O21" s="161"/>
    </row>
    <row r="22"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</row>
    <row r="23"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</row>
    <row r="24">
      <c r="B24" s="161"/>
      <c r="C24" s="161"/>
      <c r="D24" s="161"/>
      <c r="E24" s="161"/>
      <c r="F24" s="161"/>
      <c r="G24" s="161"/>
      <c r="H24" s="161"/>
      <c r="I24" s="161"/>
      <c r="J24" s="161"/>
      <c r="K24" s="1008" t="s">
        <v>868</v>
      </c>
      <c r="L24" s="161"/>
      <c r="M24" s="161"/>
      <c r="N24" s="161"/>
      <c r="O24" s="161"/>
    </row>
    <row r="25">
      <c r="B25" s="161"/>
      <c r="C25" s="161"/>
      <c r="D25" s="161"/>
      <c r="E25" s="161"/>
      <c r="F25" s="161"/>
      <c r="G25" s="161"/>
      <c r="H25" s="161"/>
      <c r="I25" s="161"/>
      <c r="J25" s="161"/>
      <c r="K25" s="668">
        <f>'OM Process Flow'!I11</f>
        <v>4</v>
      </c>
      <c r="L25" s="161"/>
      <c r="M25" s="161"/>
      <c r="N25" s="161"/>
      <c r="O25" s="161"/>
    </row>
    <row r="26"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</row>
    <row r="27">
      <c r="B27" s="161"/>
      <c r="C27" s="161"/>
      <c r="D27" s="161"/>
      <c r="E27" s="161"/>
      <c r="F27" s="161"/>
      <c r="G27" s="161"/>
      <c r="H27" s="161"/>
      <c r="I27" s="161"/>
      <c r="J27" s="161"/>
      <c r="K27" s="1008" t="s">
        <v>875</v>
      </c>
      <c r="L27" s="161"/>
      <c r="M27" s="161"/>
      <c r="N27" s="161"/>
      <c r="O27" s="161"/>
    </row>
    <row r="28">
      <c r="B28" s="161"/>
      <c r="C28" s="161"/>
      <c r="D28" s="161"/>
      <c r="E28" s="161"/>
      <c r="F28" s="161"/>
      <c r="G28" s="161"/>
      <c r="H28" s="161"/>
      <c r="I28" s="161"/>
      <c r="J28" s="161"/>
      <c r="K28" s="938">
        <f>'OM Process Flow'!I14</f>
        <v>0.7378021445</v>
      </c>
      <c r="L28" s="161"/>
      <c r="M28" s="161"/>
      <c r="N28" s="161"/>
      <c r="O28" s="161"/>
    </row>
    <row r="29"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</row>
    <row r="30"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</row>
    <row r="31"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</row>
    <row r="32"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</row>
    <row r="33"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</row>
    <row r="34">
      <c r="B34" s="978" t="s">
        <v>880</v>
      </c>
      <c r="C34" s="979"/>
      <c r="D34" s="979"/>
      <c r="E34" s="979"/>
      <c r="F34" s="979"/>
      <c r="G34" s="979"/>
      <c r="H34" s="979"/>
      <c r="I34" s="980"/>
      <c r="J34" s="161"/>
      <c r="K34" s="981" t="s">
        <v>817</v>
      </c>
      <c r="L34" s="397"/>
      <c r="M34" s="161"/>
      <c r="N34" s="161"/>
      <c r="O34" s="161"/>
    </row>
    <row r="35">
      <c r="B35" s="161"/>
      <c r="C35" s="161"/>
      <c r="D35" s="161"/>
      <c r="E35" s="161"/>
      <c r="F35" s="161"/>
      <c r="G35" s="161"/>
      <c r="H35" s="161"/>
      <c r="I35" s="161"/>
      <c r="J35" s="161"/>
      <c r="K35" s="915" t="s">
        <v>862</v>
      </c>
      <c r="L35" s="983"/>
      <c r="M35" s="161"/>
      <c r="N35" s="161"/>
      <c r="O35" s="161"/>
    </row>
    <row r="36">
      <c r="B36" s="161"/>
      <c r="C36" s="161"/>
      <c r="D36" s="161"/>
      <c r="E36" s="161"/>
      <c r="F36" s="161"/>
      <c r="G36" s="161"/>
      <c r="H36" s="161"/>
      <c r="I36" s="161"/>
      <c r="J36" s="161"/>
      <c r="K36" s="918" t="s">
        <v>864</v>
      </c>
      <c r="L36" s="984"/>
      <c r="M36" s="161"/>
      <c r="N36" s="161"/>
      <c r="O36" s="985"/>
    </row>
    <row r="37">
      <c r="B37" s="161"/>
      <c r="C37" s="161"/>
      <c r="D37" s="161"/>
      <c r="E37" s="161"/>
      <c r="F37" s="161"/>
      <c r="G37" s="161"/>
      <c r="H37" s="161"/>
      <c r="I37" s="161"/>
      <c r="J37" s="161"/>
      <c r="K37" s="918" t="s">
        <v>866</v>
      </c>
      <c r="L37" s="986"/>
      <c r="M37" s="161"/>
      <c r="N37" s="161"/>
      <c r="O37" s="985"/>
    </row>
    <row r="38">
      <c r="B38" s="161"/>
      <c r="C38" s="161"/>
      <c r="D38" s="161"/>
      <c r="E38" s="161"/>
      <c r="F38" s="161"/>
      <c r="G38" s="161"/>
      <c r="H38" s="161"/>
      <c r="I38" s="161"/>
      <c r="J38" s="161"/>
      <c r="K38" s="918" t="s">
        <v>869</v>
      </c>
      <c r="L38" s="987"/>
      <c r="M38" s="161"/>
      <c r="N38" s="161"/>
      <c r="O38" s="985"/>
    </row>
    <row r="39">
      <c r="B39" s="161"/>
      <c r="C39" s="161"/>
      <c r="D39" s="161"/>
      <c r="E39" s="161"/>
      <c r="F39" s="161"/>
      <c r="G39" s="161"/>
      <c r="H39" s="161"/>
      <c r="I39" s="161"/>
      <c r="J39" s="161"/>
      <c r="K39" s="918" t="s">
        <v>871</v>
      </c>
      <c r="L39" s="1009"/>
      <c r="M39" s="161"/>
      <c r="N39" s="161"/>
      <c r="O39" s="985"/>
    </row>
    <row r="40">
      <c r="B40" s="161"/>
      <c r="C40" s="161"/>
      <c r="D40" s="161"/>
      <c r="E40" s="161"/>
      <c r="F40" s="161"/>
      <c r="G40" s="161"/>
      <c r="H40" s="161"/>
      <c r="I40" s="161"/>
      <c r="J40" s="161"/>
      <c r="K40" s="934" t="s">
        <v>873</v>
      </c>
      <c r="L40" s="1010"/>
      <c r="M40" s="161"/>
      <c r="N40" s="161"/>
      <c r="O40" s="985"/>
    </row>
    <row r="41">
      <c r="B41" s="161"/>
      <c r="C41" s="161"/>
      <c r="D41" s="161"/>
      <c r="E41" s="161"/>
      <c r="F41" s="161"/>
      <c r="G41" s="161"/>
      <c r="H41" s="161"/>
      <c r="I41" s="161"/>
      <c r="J41" s="161"/>
      <c r="K41" s="985"/>
      <c r="L41" s="985"/>
      <c r="M41" s="161"/>
      <c r="N41" s="161"/>
      <c r="O41" s="985"/>
    </row>
    <row r="42">
      <c r="B42" s="161"/>
      <c r="C42" s="161"/>
      <c r="D42" s="161"/>
      <c r="E42" s="161"/>
      <c r="F42" s="161"/>
      <c r="G42" s="161"/>
      <c r="H42" s="161"/>
      <c r="I42" s="161"/>
      <c r="J42" s="161"/>
      <c r="K42" s="1008" t="s">
        <v>33</v>
      </c>
      <c r="L42" s="161"/>
      <c r="M42" s="161"/>
      <c r="N42" s="161"/>
      <c r="O42" s="985"/>
    </row>
    <row r="43">
      <c r="B43" s="161"/>
      <c r="C43" s="161"/>
      <c r="D43" s="161"/>
      <c r="E43" s="161"/>
      <c r="F43" s="161"/>
      <c r="G43" s="161"/>
      <c r="H43" s="161"/>
      <c r="I43" s="161"/>
      <c r="J43" s="161"/>
      <c r="K43" s="905" t="s">
        <v>853</v>
      </c>
      <c r="L43" s="906" t="s">
        <v>854</v>
      </c>
      <c r="M43" s="940" t="s">
        <v>855</v>
      </c>
      <c r="N43" s="908" t="s">
        <v>856</v>
      </c>
      <c r="O43" s="991" t="s">
        <v>857</v>
      </c>
    </row>
    <row r="44">
      <c r="B44" s="161"/>
      <c r="C44" s="161"/>
      <c r="D44" s="161"/>
      <c r="E44" s="161"/>
      <c r="F44" s="161"/>
      <c r="G44" s="161"/>
      <c r="H44" s="161"/>
      <c r="I44" s="161"/>
      <c r="J44" s="161"/>
      <c r="K44" s="216" t="s">
        <v>859</v>
      </c>
      <c r="L44" s="941">
        <v>30.0</v>
      </c>
      <c r="M44" s="1011"/>
      <c r="N44" s="959">
        <v>1.0</v>
      </c>
      <c r="O44" s="1012">
        <v>30.0</v>
      </c>
    </row>
    <row r="45">
      <c r="B45" s="161"/>
      <c r="C45" s="161"/>
      <c r="D45" s="161"/>
      <c r="E45" s="161"/>
      <c r="F45" s="161"/>
      <c r="G45" s="161"/>
      <c r="H45" s="161"/>
      <c r="I45" s="161"/>
      <c r="J45" s="161"/>
      <c r="K45" s="216" t="s">
        <v>861</v>
      </c>
      <c r="L45" s="941">
        <v>120.0</v>
      </c>
      <c r="M45" s="1013"/>
      <c r="N45" s="959">
        <v>2.0</v>
      </c>
      <c r="O45" s="959">
        <v>60.0</v>
      </c>
    </row>
    <row r="46">
      <c r="B46" s="161"/>
      <c r="C46" s="161"/>
      <c r="D46" s="161"/>
      <c r="E46" s="161"/>
      <c r="F46" s="161"/>
      <c r="G46" s="161"/>
      <c r="H46" s="161"/>
      <c r="I46" s="161"/>
      <c r="J46" s="161"/>
      <c r="K46" s="216" t="s">
        <v>863</v>
      </c>
      <c r="L46" s="909">
        <v>80.0</v>
      </c>
      <c r="M46" s="1014"/>
      <c r="N46" s="1015">
        <v>1.0</v>
      </c>
      <c r="O46" s="1016">
        <v>80.0</v>
      </c>
    </row>
    <row r="47">
      <c r="B47" s="161"/>
      <c r="C47" s="161"/>
      <c r="D47" s="161"/>
      <c r="E47" s="161"/>
      <c r="F47" s="161"/>
      <c r="G47" s="161"/>
      <c r="H47" s="161"/>
      <c r="I47" s="161"/>
      <c r="J47" s="161"/>
      <c r="K47" s="216" t="s">
        <v>865</v>
      </c>
      <c r="L47" s="909">
        <v>40.0</v>
      </c>
      <c r="M47" s="1017"/>
      <c r="N47" s="1018">
        <v>1.0</v>
      </c>
      <c r="O47" s="994">
        <v>80.0</v>
      </c>
    </row>
    <row r="48">
      <c r="B48" s="161"/>
      <c r="C48" s="161"/>
      <c r="D48" s="161"/>
      <c r="E48" s="161"/>
      <c r="F48" s="161"/>
      <c r="G48" s="161"/>
      <c r="H48" s="161"/>
      <c r="I48" s="161"/>
      <c r="J48" s="161"/>
      <c r="K48" s="216" t="s">
        <v>867</v>
      </c>
      <c r="L48" s="909">
        <v>40.0</v>
      </c>
      <c r="M48" s="914"/>
      <c r="N48" s="950"/>
      <c r="O48" s="951"/>
    </row>
    <row r="49">
      <c r="B49" s="161"/>
      <c r="C49" s="161"/>
      <c r="D49" s="161"/>
      <c r="E49" s="161"/>
      <c r="F49" s="161"/>
      <c r="G49" s="161"/>
      <c r="H49" s="161"/>
      <c r="I49" s="161"/>
      <c r="J49" s="161"/>
      <c r="K49" s="216" t="s">
        <v>870</v>
      </c>
      <c r="L49" s="941">
        <v>80.0</v>
      </c>
      <c r="M49" s="1019"/>
      <c r="N49" s="959">
        <v>1.0</v>
      </c>
      <c r="O49" s="959">
        <v>80.0</v>
      </c>
    </row>
    <row r="50">
      <c r="B50" s="161"/>
      <c r="C50" s="161"/>
      <c r="D50" s="161"/>
      <c r="E50" s="161"/>
      <c r="F50" s="161"/>
      <c r="G50" s="161"/>
      <c r="H50" s="161"/>
      <c r="I50" s="161"/>
      <c r="J50" s="161"/>
      <c r="K50" s="216" t="s">
        <v>872</v>
      </c>
      <c r="L50" s="941">
        <v>60.0</v>
      </c>
      <c r="M50" s="1020"/>
      <c r="N50" s="959">
        <v>1.0</v>
      </c>
      <c r="O50" s="959">
        <v>60.0</v>
      </c>
    </row>
    <row r="51">
      <c r="B51" s="161"/>
      <c r="C51" s="161"/>
      <c r="D51" s="161"/>
      <c r="E51" s="161"/>
      <c r="F51" s="161"/>
      <c r="G51" s="161"/>
      <c r="H51" s="161"/>
      <c r="I51" s="161"/>
      <c r="J51" s="161"/>
      <c r="K51" s="1021" t="s">
        <v>874</v>
      </c>
      <c r="L51" s="930">
        <v>450.0</v>
      </c>
      <c r="M51" s="1022" t="s">
        <v>878</v>
      </c>
      <c r="N51" s="1023">
        <v>7.0</v>
      </c>
      <c r="O51" s="1023">
        <v>390.0</v>
      </c>
    </row>
    <row r="52">
      <c r="B52" s="161"/>
      <c r="C52" s="161"/>
      <c r="D52" s="161"/>
      <c r="E52" s="161"/>
      <c r="F52" s="161"/>
      <c r="G52" s="161"/>
      <c r="H52" s="161"/>
      <c r="I52" s="161"/>
      <c r="J52" s="161"/>
      <c r="K52" s="1024" t="s">
        <v>877</v>
      </c>
      <c r="L52" s="937">
        <v>120.0</v>
      </c>
      <c r="M52" s="914"/>
      <c r="N52" s="914"/>
      <c r="O52" s="914"/>
    </row>
    <row r="53"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</row>
    <row r="54">
      <c r="B54" s="161"/>
      <c r="C54" s="161"/>
      <c r="D54" s="161"/>
      <c r="E54" s="161"/>
      <c r="F54" s="161"/>
      <c r="G54" s="161"/>
      <c r="H54" s="161"/>
      <c r="I54" s="161"/>
      <c r="J54" s="161"/>
      <c r="K54" s="1008" t="s">
        <v>860</v>
      </c>
      <c r="L54" s="161"/>
      <c r="M54" s="161"/>
      <c r="N54" s="161"/>
      <c r="O54" s="161"/>
    </row>
    <row r="55">
      <c r="B55" s="161"/>
      <c r="C55" s="161"/>
      <c r="D55" s="161"/>
      <c r="E55" s="161"/>
      <c r="F55" s="161"/>
      <c r="G55" s="161"/>
      <c r="H55" s="161"/>
      <c r="I55" s="161"/>
      <c r="J55" s="161"/>
      <c r="K55" s="668">
        <f>'OM Process Flow'!I19</f>
        <v>88.66511374</v>
      </c>
      <c r="L55" s="161"/>
      <c r="M55" s="161"/>
      <c r="N55" s="161"/>
      <c r="O55" s="161"/>
    </row>
    <row r="56"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</row>
    <row r="57"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</row>
    <row r="58">
      <c r="B58" s="161"/>
      <c r="C58" s="161"/>
      <c r="D58" s="161"/>
      <c r="E58" s="161"/>
      <c r="F58" s="161"/>
      <c r="G58" s="161"/>
      <c r="H58" s="161"/>
      <c r="I58" s="161"/>
      <c r="J58" s="161"/>
      <c r="K58" s="1008" t="s">
        <v>868</v>
      </c>
      <c r="L58" s="161"/>
      <c r="M58" s="161"/>
      <c r="N58" s="161"/>
      <c r="O58" s="161"/>
    </row>
    <row r="59">
      <c r="B59" s="161"/>
      <c r="C59" s="161"/>
      <c r="D59" s="161"/>
      <c r="E59" s="161"/>
      <c r="F59" s="161"/>
      <c r="G59" s="161"/>
      <c r="H59" s="161"/>
      <c r="I59" s="161"/>
      <c r="J59" s="161"/>
      <c r="K59" s="668">
        <f>'OM Process Flow'!I23</f>
        <v>6</v>
      </c>
      <c r="L59" s="161"/>
      <c r="M59" s="161"/>
      <c r="N59" s="161"/>
      <c r="O59" s="161"/>
    </row>
    <row r="60"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</row>
    <row r="61">
      <c r="B61" s="161"/>
      <c r="C61" s="161"/>
      <c r="D61" s="161"/>
      <c r="E61" s="161"/>
      <c r="F61" s="161"/>
      <c r="G61" s="161"/>
      <c r="H61" s="161"/>
      <c r="I61" s="161"/>
      <c r="J61" s="161"/>
      <c r="K61" s="1008" t="s">
        <v>875</v>
      </c>
      <c r="L61" s="161"/>
      <c r="M61" s="161"/>
      <c r="N61" s="161"/>
      <c r="O61" s="161"/>
    </row>
    <row r="62">
      <c r="B62" s="161"/>
      <c r="C62" s="161"/>
      <c r="D62" s="161"/>
      <c r="E62" s="161"/>
      <c r="F62" s="161"/>
      <c r="G62" s="161"/>
      <c r="H62" s="161"/>
      <c r="I62" s="161"/>
      <c r="J62" s="161"/>
      <c r="K62" s="938">
        <f>'OM Process Flow'!I26</f>
        <v>0.7330955464</v>
      </c>
      <c r="L62" s="161"/>
      <c r="M62" s="161"/>
      <c r="N62" s="161"/>
      <c r="O62" s="161"/>
    </row>
    <row r="63"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</row>
    <row r="64"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</row>
    <row r="65"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</row>
    <row r="66">
      <c r="B66" s="978" t="s">
        <v>881</v>
      </c>
      <c r="C66" s="979"/>
      <c r="D66" s="979"/>
      <c r="E66" s="979"/>
      <c r="F66" s="979"/>
      <c r="G66" s="979"/>
      <c r="H66" s="979"/>
      <c r="I66" s="980"/>
      <c r="J66" s="161"/>
      <c r="K66" s="981" t="s">
        <v>817</v>
      </c>
      <c r="L66" s="397"/>
      <c r="M66" s="161"/>
      <c r="N66" s="161"/>
      <c r="O66" s="161"/>
    </row>
    <row r="67">
      <c r="B67" s="161"/>
      <c r="C67" s="161"/>
      <c r="D67" s="161"/>
      <c r="E67" s="161"/>
      <c r="F67" s="161"/>
      <c r="G67" s="161"/>
      <c r="H67" s="161"/>
      <c r="I67" s="161"/>
      <c r="J67" s="161"/>
      <c r="K67" s="918" t="s">
        <v>862</v>
      </c>
      <c r="L67" s="1025"/>
      <c r="M67" s="161"/>
      <c r="N67" s="161"/>
      <c r="O67" s="161"/>
    </row>
    <row r="68">
      <c r="B68" s="161"/>
      <c r="C68" s="161"/>
      <c r="D68" s="161"/>
      <c r="E68" s="161"/>
      <c r="F68" s="161"/>
      <c r="G68" s="161"/>
      <c r="H68" s="161"/>
      <c r="I68" s="161"/>
      <c r="J68" s="161"/>
      <c r="K68" s="918" t="s">
        <v>864</v>
      </c>
      <c r="L68" s="984"/>
      <c r="M68" s="161"/>
      <c r="N68" s="161"/>
      <c r="O68" s="985"/>
    </row>
    <row r="69">
      <c r="B69" s="161"/>
      <c r="C69" s="161"/>
      <c r="D69" s="161"/>
      <c r="E69" s="161"/>
      <c r="F69" s="161"/>
      <c r="G69" s="161"/>
      <c r="H69" s="161"/>
      <c r="I69" s="161"/>
      <c r="J69" s="161"/>
      <c r="K69" s="918" t="s">
        <v>866</v>
      </c>
      <c r="L69" s="986"/>
      <c r="M69" s="161"/>
      <c r="N69" s="161"/>
      <c r="O69" s="985"/>
    </row>
    <row r="70">
      <c r="B70" s="161"/>
      <c r="C70" s="161"/>
      <c r="D70" s="161"/>
      <c r="E70" s="161"/>
      <c r="F70" s="161"/>
      <c r="G70" s="161"/>
      <c r="H70" s="161"/>
      <c r="I70" s="161"/>
      <c r="J70" s="161"/>
      <c r="K70" s="918" t="s">
        <v>869</v>
      </c>
      <c r="L70" s="987"/>
      <c r="M70" s="161"/>
      <c r="N70" s="161"/>
      <c r="O70" s="985"/>
    </row>
    <row r="71">
      <c r="B71" s="161"/>
      <c r="C71" s="161"/>
      <c r="D71" s="161"/>
      <c r="E71" s="161"/>
      <c r="F71" s="161"/>
      <c r="G71" s="161"/>
      <c r="H71" s="161"/>
      <c r="I71" s="161"/>
      <c r="J71" s="161"/>
      <c r="K71" s="918" t="s">
        <v>871</v>
      </c>
      <c r="L71" s="1009"/>
      <c r="M71" s="161"/>
      <c r="N71" s="161"/>
      <c r="O71" s="985"/>
    </row>
    <row r="72">
      <c r="B72" s="161"/>
      <c r="C72" s="161"/>
      <c r="D72" s="161"/>
      <c r="E72" s="161"/>
      <c r="F72" s="161"/>
      <c r="G72" s="161"/>
      <c r="H72" s="161"/>
      <c r="I72" s="161"/>
      <c r="J72" s="161"/>
      <c r="K72" s="918" t="s">
        <v>873</v>
      </c>
      <c r="L72" s="1010"/>
      <c r="M72" s="161"/>
      <c r="N72" s="161"/>
      <c r="O72" s="985"/>
    </row>
    <row r="73">
      <c r="B73" s="161"/>
      <c r="C73" s="161"/>
      <c r="D73" s="161"/>
      <c r="E73" s="161"/>
      <c r="F73" s="161"/>
      <c r="G73" s="161"/>
      <c r="H73" s="161"/>
      <c r="I73" s="161"/>
      <c r="J73" s="161"/>
      <c r="K73" s="934" t="s">
        <v>876</v>
      </c>
      <c r="L73" s="1026"/>
      <c r="M73" s="161"/>
      <c r="N73" s="161"/>
      <c r="O73" s="985"/>
    </row>
    <row r="74"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985"/>
    </row>
    <row r="75">
      <c r="B75" s="161"/>
      <c r="C75" s="161"/>
      <c r="D75" s="161"/>
      <c r="E75" s="161"/>
      <c r="F75" s="161"/>
      <c r="G75" s="161"/>
      <c r="H75" s="161"/>
      <c r="I75" s="161"/>
      <c r="J75" s="161"/>
      <c r="K75" s="1008" t="s">
        <v>34</v>
      </c>
      <c r="L75" s="161"/>
      <c r="M75" s="161"/>
      <c r="N75" s="161"/>
      <c r="O75" s="985"/>
    </row>
    <row r="76">
      <c r="B76" s="161"/>
      <c r="C76" s="161"/>
      <c r="D76" s="161"/>
      <c r="E76" s="161"/>
      <c r="F76" s="161"/>
      <c r="G76" s="161"/>
      <c r="H76" s="161"/>
      <c r="I76" s="161"/>
      <c r="J76" s="161"/>
      <c r="K76" s="905" t="s">
        <v>853</v>
      </c>
      <c r="L76" s="906" t="s">
        <v>854</v>
      </c>
      <c r="M76" s="907" t="s">
        <v>855</v>
      </c>
      <c r="N76" s="908" t="s">
        <v>856</v>
      </c>
      <c r="O76" s="991" t="s">
        <v>857</v>
      </c>
    </row>
    <row r="77">
      <c r="B77" s="161"/>
      <c r="C77" s="161"/>
      <c r="D77" s="161"/>
      <c r="E77" s="161"/>
      <c r="F77" s="161"/>
      <c r="G77" s="161"/>
      <c r="H77" s="161"/>
      <c r="I77" s="161"/>
      <c r="J77" s="161"/>
      <c r="K77" s="216" t="s">
        <v>859</v>
      </c>
      <c r="L77" s="909">
        <v>30.0</v>
      </c>
      <c r="M77" s="1011"/>
      <c r="N77" s="1027">
        <v>1.0</v>
      </c>
      <c r="O77" s="959">
        <v>30.0</v>
      </c>
    </row>
    <row r="78">
      <c r="B78" s="161"/>
      <c r="C78" s="161"/>
      <c r="D78" s="161"/>
      <c r="E78" s="161"/>
      <c r="F78" s="161"/>
      <c r="G78" s="161"/>
      <c r="H78" s="161"/>
      <c r="I78" s="161"/>
      <c r="J78" s="161"/>
      <c r="K78" s="216" t="s">
        <v>861</v>
      </c>
      <c r="L78" s="909">
        <v>120.0</v>
      </c>
      <c r="M78" s="1028"/>
      <c r="N78" s="1027">
        <v>2.0</v>
      </c>
      <c r="O78" s="959">
        <v>60.0</v>
      </c>
    </row>
    <row r="79">
      <c r="B79" s="161"/>
      <c r="C79" s="161"/>
      <c r="D79" s="161"/>
      <c r="E79" s="161"/>
      <c r="F79" s="161"/>
      <c r="G79" s="161"/>
      <c r="H79" s="161"/>
      <c r="I79" s="161"/>
      <c r="J79" s="161"/>
      <c r="K79" s="216" t="s">
        <v>863</v>
      </c>
      <c r="L79" s="909">
        <v>80.0</v>
      </c>
      <c r="M79" s="1029"/>
      <c r="N79" s="1027">
        <v>1.0</v>
      </c>
      <c r="O79" s="959">
        <v>80.0</v>
      </c>
    </row>
    <row r="80">
      <c r="B80" s="161"/>
      <c r="C80" s="161"/>
      <c r="D80" s="161"/>
      <c r="E80" s="161"/>
      <c r="F80" s="161"/>
      <c r="G80" s="161"/>
      <c r="H80" s="161"/>
      <c r="I80" s="161"/>
      <c r="J80" s="161"/>
      <c r="K80" s="216" t="s">
        <v>865</v>
      </c>
      <c r="L80" s="909">
        <v>40.0</v>
      </c>
      <c r="M80" s="1030"/>
      <c r="N80" s="959">
        <v>1.0</v>
      </c>
      <c r="O80" s="1016">
        <v>40.0</v>
      </c>
    </row>
    <row r="81">
      <c r="B81" s="161"/>
      <c r="C81" s="161"/>
      <c r="D81" s="161"/>
      <c r="E81" s="161"/>
      <c r="F81" s="161"/>
      <c r="G81" s="161"/>
      <c r="H81" s="161"/>
      <c r="I81" s="161"/>
      <c r="J81" s="161"/>
      <c r="K81" s="216" t="s">
        <v>867</v>
      </c>
      <c r="L81" s="909">
        <v>40.0</v>
      </c>
      <c r="M81" s="1031"/>
      <c r="N81" s="1032">
        <v>1.0</v>
      </c>
      <c r="O81" s="1032">
        <v>40.0</v>
      </c>
    </row>
    <row r="82">
      <c r="B82" s="161"/>
      <c r="C82" s="161"/>
      <c r="D82" s="161"/>
      <c r="E82" s="161"/>
      <c r="F82" s="161"/>
      <c r="G82" s="161"/>
      <c r="H82" s="161"/>
      <c r="I82" s="161"/>
      <c r="J82" s="161"/>
      <c r="K82" s="216" t="s">
        <v>870</v>
      </c>
      <c r="L82" s="909">
        <v>80.0</v>
      </c>
      <c r="M82" s="1033"/>
      <c r="N82" s="959">
        <v>2.0</v>
      </c>
      <c r="O82" s="959">
        <v>40.0</v>
      </c>
    </row>
    <row r="83">
      <c r="B83" s="161"/>
      <c r="C83" s="161"/>
      <c r="D83" s="161"/>
      <c r="E83" s="161"/>
      <c r="F83" s="161"/>
      <c r="G83" s="161"/>
      <c r="H83" s="161"/>
      <c r="I83" s="161"/>
      <c r="J83" s="161"/>
      <c r="K83" s="216" t="s">
        <v>872</v>
      </c>
      <c r="L83" s="909">
        <v>60.0</v>
      </c>
      <c r="M83" s="1034"/>
      <c r="N83" s="959">
        <v>1.0</v>
      </c>
      <c r="O83" s="959">
        <v>60.0</v>
      </c>
    </row>
    <row r="84">
      <c r="B84" s="161"/>
      <c r="C84" s="161"/>
      <c r="D84" s="161"/>
      <c r="E84" s="161"/>
      <c r="F84" s="161"/>
      <c r="G84" s="161"/>
      <c r="H84" s="161"/>
      <c r="I84" s="161"/>
      <c r="J84" s="161"/>
      <c r="K84" s="1021" t="s">
        <v>874</v>
      </c>
      <c r="L84" s="930">
        <v>450.0</v>
      </c>
      <c r="M84" s="1004" t="s">
        <v>699</v>
      </c>
      <c r="N84" s="1005">
        <v>9.0</v>
      </c>
      <c r="O84" s="1005">
        <v>350.0</v>
      </c>
    </row>
    <row r="85">
      <c r="B85" s="161"/>
      <c r="C85" s="161"/>
      <c r="D85" s="161"/>
      <c r="E85" s="161"/>
      <c r="F85" s="161"/>
      <c r="G85" s="161"/>
      <c r="H85" s="161"/>
      <c r="I85" s="161"/>
      <c r="J85" s="161"/>
      <c r="K85" s="1024" t="s">
        <v>877</v>
      </c>
      <c r="L85" s="937">
        <v>80.0</v>
      </c>
      <c r="M85" s="914"/>
      <c r="N85" s="914"/>
      <c r="O85" s="914"/>
    </row>
    <row r="86"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</row>
    <row r="87">
      <c r="B87" s="161"/>
      <c r="C87" s="161"/>
      <c r="D87" s="161"/>
      <c r="E87" s="161"/>
      <c r="F87" s="161"/>
      <c r="G87" s="161"/>
      <c r="H87" s="161"/>
      <c r="I87" s="161"/>
      <c r="J87" s="161"/>
      <c r="K87" s="1008" t="s">
        <v>860</v>
      </c>
      <c r="L87" s="161"/>
      <c r="M87" s="161"/>
      <c r="N87" s="161"/>
      <c r="O87" s="161"/>
    </row>
    <row r="88">
      <c r="B88" s="161"/>
      <c r="C88" s="161"/>
      <c r="D88" s="161"/>
      <c r="E88" s="161"/>
      <c r="F88" s="161"/>
      <c r="G88" s="161"/>
      <c r="H88" s="161"/>
      <c r="I88" s="161"/>
      <c r="J88" s="161"/>
      <c r="K88" s="668">
        <f>'OM Process Flow'!I31</f>
        <v>68.07639417</v>
      </c>
      <c r="L88" s="161"/>
      <c r="M88" s="161"/>
      <c r="N88" s="161"/>
      <c r="O88" s="161"/>
    </row>
    <row r="89"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</row>
    <row r="90"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</row>
    <row r="91">
      <c r="B91" s="161"/>
      <c r="C91" s="161"/>
      <c r="D91" s="161"/>
      <c r="E91" s="161"/>
      <c r="F91" s="161"/>
      <c r="G91" s="161"/>
      <c r="H91" s="161"/>
      <c r="I91" s="161"/>
      <c r="J91" s="161"/>
      <c r="K91" s="1008" t="s">
        <v>868</v>
      </c>
      <c r="L91" s="161"/>
      <c r="M91" s="161"/>
      <c r="N91" s="161"/>
      <c r="O91" s="161"/>
    </row>
    <row r="92">
      <c r="B92" s="161"/>
      <c r="C92" s="161"/>
      <c r="D92" s="161"/>
      <c r="E92" s="161"/>
      <c r="F92" s="161"/>
      <c r="G92" s="161"/>
      <c r="H92" s="161"/>
      <c r="I92" s="161"/>
      <c r="J92" s="161"/>
      <c r="K92" s="668">
        <f>'OM Process Flow'!I35</f>
        <v>7</v>
      </c>
      <c r="L92" s="161"/>
      <c r="M92" s="161"/>
      <c r="N92" s="161"/>
      <c r="O92" s="161"/>
    </row>
    <row r="93"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</row>
    <row r="94">
      <c r="B94" s="161"/>
      <c r="C94" s="161"/>
      <c r="D94" s="161"/>
      <c r="E94" s="161"/>
      <c r="F94" s="161"/>
      <c r="G94" s="161"/>
      <c r="H94" s="161"/>
      <c r="I94" s="161"/>
      <c r="J94" s="161"/>
      <c r="K94" s="1008" t="s">
        <v>875</v>
      </c>
      <c r="L94" s="161"/>
      <c r="M94" s="161"/>
      <c r="N94" s="161"/>
      <c r="O94" s="161"/>
    </row>
    <row r="95">
      <c r="B95" s="161"/>
      <c r="C95" s="161"/>
      <c r="D95" s="161"/>
      <c r="E95" s="161"/>
      <c r="F95" s="161"/>
      <c r="G95" s="161"/>
      <c r="H95" s="161"/>
      <c r="I95" s="161"/>
      <c r="J95" s="161"/>
      <c r="K95" s="938">
        <f>'OM Process Flow'!I38</f>
        <v>0.6505296707</v>
      </c>
      <c r="L95" s="161"/>
      <c r="M95" s="161"/>
      <c r="N95" s="161"/>
      <c r="O95" s="161"/>
    </row>
    <row r="96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</row>
    <row r="97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</row>
    <row r="98">
      <c r="B98" s="978" t="s">
        <v>882</v>
      </c>
      <c r="C98" s="979"/>
      <c r="D98" s="979"/>
      <c r="E98" s="979"/>
      <c r="F98" s="979"/>
      <c r="G98" s="979"/>
      <c r="H98" s="979"/>
      <c r="I98" s="980"/>
      <c r="J98" s="161"/>
      <c r="K98" s="981" t="s">
        <v>817</v>
      </c>
      <c r="L98" s="397"/>
      <c r="M98" s="161"/>
      <c r="N98" s="161"/>
      <c r="O98" s="161"/>
    </row>
    <row r="99">
      <c r="B99" s="161"/>
      <c r="C99" s="161"/>
      <c r="D99" s="161"/>
      <c r="E99" s="161"/>
      <c r="F99" s="161"/>
      <c r="G99" s="161"/>
      <c r="H99" s="161"/>
      <c r="I99" s="161"/>
      <c r="J99" s="161"/>
      <c r="K99" s="918" t="s">
        <v>862</v>
      </c>
      <c r="L99" s="983"/>
      <c r="M99" s="161"/>
      <c r="N99" s="161"/>
      <c r="O99" s="161"/>
    </row>
    <row r="100">
      <c r="B100" s="161"/>
      <c r="C100" s="161"/>
      <c r="D100" s="161"/>
      <c r="E100" s="161"/>
      <c r="F100" s="161"/>
      <c r="G100" s="161"/>
      <c r="H100" s="161"/>
      <c r="I100" s="161"/>
      <c r="J100" s="161"/>
      <c r="K100" s="918" t="s">
        <v>864</v>
      </c>
      <c r="L100" s="984"/>
      <c r="M100" s="161"/>
      <c r="N100" s="161"/>
      <c r="O100" s="161"/>
    </row>
    <row r="101">
      <c r="B101" s="161"/>
      <c r="C101" s="161"/>
      <c r="D101" s="161"/>
      <c r="E101" s="161"/>
      <c r="F101" s="161"/>
      <c r="G101" s="161"/>
      <c r="H101" s="161"/>
      <c r="I101" s="161"/>
      <c r="J101" s="161"/>
      <c r="K101" s="918" t="s">
        <v>866</v>
      </c>
      <c r="L101" s="986"/>
      <c r="M101" s="161"/>
      <c r="N101" s="161"/>
      <c r="O101" s="161"/>
    </row>
    <row r="102">
      <c r="B102" s="161"/>
      <c r="C102" s="161"/>
      <c r="D102" s="161"/>
      <c r="E102" s="161"/>
      <c r="F102" s="161"/>
      <c r="G102" s="161"/>
      <c r="H102" s="161"/>
      <c r="I102" s="161"/>
      <c r="J102" s="161"/>
      <c r="K102" s="918" t="s">
        <v>869</v>
      </c>
      <c r="L102" s="987"/>
      <c r="M102" s="161"/>
      <c r="N102" s="161"/>
      <c r="O102" s="161"/>
    </row>
    <row r="103">
      <c r="B103" s="161"/>
      <c r="C103" s="161"/>
      <c r="D103" s="161"/>
      <c r="E103" s="161"/>
      <c r="F103" s="161"/>
      <c r="G103" s="161"/>
      <c r="H103" s="161"/>
      <c r="I103" s="161"/>
      <c r="J103" s="161"/>
      <c r="K103" s="918" t="s">
        <v>871</v>
      </c>
      <c r="L103" s="1009"/>
      <c r="M103" s="161"/>
      <c r="N103" s="161"/>
      <c r="O103" s="161"/>
    </row>
    <row r="104">
      <c r="B104" s="161"/>
      <c r="C104" s="161"/>
      <c r="D104" s="161"/>
      <c r="E104" s="161"/>
      <c r="F104" s="161"/>
      <c r="G104" s="161"/>
      <c r="H104" s="161"/>
      <c r="I104" s="161"/>
      <c r="J104" s="161"/>
      <c r="K104" s="918" t="s">
        <v>873</v>
      </c>
      <c r="L104" s="1010"/>
      <c r="M104" s="161"/>
      <c r="N104" s="161"/>
      <c r="O104" s="161"/>
    </row>
    <row r="105">
      <c r="B105" s="161"/>
      <c r="C105" s="161"/>
      <c r="D105" s="161"/>
      <c r="E105" s="161"/>
      <c r="F105" s="161"/>
      <c r="G105" s="161"/>
      <c r="H105" s="161"/>
      <c r="I105" s="161"/>
      <c r="J105" s="161"/>
      <c r="K105" s="934" t="s">
        <v>876</v>
      </c>
      <c r="L105" s="1026"/>
      <c r="M105" s="161"/>
      <c r="N105" s="161"/>
      <c r="O105" s="161"/>
    </row>
    <row r="106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</row>
    <row r="107">
      <c r="B107" s="161"/>
      <c r="C107" s="161"/>
      <c r="D107" s="161"/>
      <c r="E107" s="161"/>
      <c r="F107" s="161"/>
      <c r="G107" s="161"/>
      <c r="H107" s="161"/>
      <c r="I107" s="161"/>
      <c r="J107" s="161"/>
      <c r="K107" s="1008" t="s">
        <v>35</v>
      </c>
      <c r="L107" s="161"/>
      <c r="M107" s="161"/>
      <c r="N107" s="161"/>
      <c r="O107" s="161"/>
    </row>
    <row r="108">
      <c r="B108" s="161"/>
      <c r="C108" s="161"/>
      <c r="D108" s="161"/>
      <c r="E108" s="161"/>
      <c r="F108" s="161"/>
      <c r="G108" s="161"/>
      <c r="H108" s="161"/>
      <c r="I108" s="161"/>
      <c r="J108" s="161"/>
      <c r="K108" s="905" t="s">
        <v>853</v>
      </c>
      <c r="L108" s="906" t="s">
        <v>854</v>
      </c>
      <c r="M108" s="940" t="s">
        <v>855</v>
      </c>
      <c r="N108" s="908" t="s">
        <v>856</v>
      </c>
      <c r="O108" s="908" t="s">
        <v>857</v>
      </c>
    </row>
    <row r="109">
      <c r="B109" s="161"/>
      <c r="C109" s="161"/>
      <c r="D109" s="161"/>
      <c r="E109" s="161"/>
      <c r="F109" s="161"/>
      <c r="G109" s="161"/>
      <c r="H109" s="161"/>
      <c r="I109" s="161"/>
      <c r="J109" s="161"/>
      <c r="K109" s="216" t="s">
        <v>859</v>
      </c>
      <c r="L109" s="941">
        <v>30.0</v>
      </c>
      <c r="M109" s="1011"/>
      <c r="N109" s="959">
        <v>1.0</v>
      </c>
      <c r="O109" s="959">
        <v>30.0</v>
      </c>
    </row>
    <row r="110">
      <c r="B110" s="161"/>
      <c r="C110" s="161"/>
      <c r="D110" s="161"/>
      <c r="E110" s="161"/>
      <c r="F110" s="161"/>
      <c r="G110" s="161"/>
      <c r="H110" s="161"/>
      <c r="I110" s="161"/>
      <c r="J110" s="161"/>
      <c r="K110" s="216" t="s">
        <v>861</v>
      </c>
      <c r="L110" s="941">
        <v>120.0</v>
      </c>
      <c r="M110" s="1035"/>
      <c r="N110" s="959">
        <v>3.0</v>
      </c>
      <c r="O110" s="959">
        <v>40.0</v>
      </c>
    </row>
    <row r="111">
      <c r="B111" s="161"/>
      <c r="C111" s="161"/>
      <c r="D111" s="161"/>
      <c r="E111" s="161"/>
      <c r="F111" s="161"/>
      <c r="G111" s="161"/>
      <c r="H111" s="161"/>
      <c r="I111" s="161"/>
      <c r="J111" s="161"/>
      <c r="K111" s="216" t="s">
        <v>863</v>
      </c>
      <c r="L111" s="941">
        <v>80.0</v>
      </c>
      <c r="M111" s="1036"/>
      <c r="N111" s="959">
        <v>2.0</v>
      </c>
      <c r="O111" s="959">
        <v>40.0</v>
      </c>
    </row>
    <row r="112">
      <c r="B112" s="161"/>
      <c r="C112" s="161"/>
      <c r="D112" s="161"/>
      <c r="E112" s="161"/>
      <c r="F112" s="161"/>
      <c r="G112" s="161"/>
      <c r="H112" s="161"/>
      <c r="I112" s="161"/>
      <c r="J112" s="161"/>
      <c r="K112" s="216" t="s">
        <v>865</v>
      </c>
      <c r="L112" s="966">
        <v>40.0</v>
      </c>
      <c r="M112" s="1030"/>
      <c r="N112" s="959">
        <v>1.0</v>
      </c>
      <c r="O112" s="959">
        <v>40.0</v>
      </c>
    </row>
    <row r="113">
      <c r="B113" s="161"/>
      <c r="C113" s="161"/>
      <c r="D113" s="161"/>
      <c r="E113" s="161"/>
      <c r="F113" s="161"/>
      <c r="G113" s="161"/>
      <c r="H113" s="161"/>
      <c r="I113" s="161"/>
      <c r="J113" s="161"/>
      <c r="K113" s="216" t="s">
        <v>867</v>
      </c>
      <c r="L113" s="941">
        <v>40.0</v>
      </c>
      <c r="M113" s="1031"/>
      <c r="N113" s="959">
        <v>1.0</v>
      </c>
      <c r="O113" s="959">
        <v>40.0</v>
      </c>
    </row>
    <row r="114">
      <c r="B114" s="161"/>
      <c r="C114" s="161"/>
      <c r="D114" s="161"/>
      <c r="E114" s="161"/>
      <c r="F114" s="161"/>
      <c r="G114" s="161"/>
      <c r="H114" s="161"/>
      <c r="I114" s="161"/>
      <c r="J114" s="161"/>
      <c r="K114" s="216" t="s">
        <v>870</v>
      </c>
      <c r="L114" s="941">
        <v>80.0</v>
      </c>
      <c r="M114" s="1010"/>
      <c r="N114" s="959">
        <v>2.0</v>
      </c>
      <c r="O114" s="959">
        <v>40.0</v>
      </c>
    </row>
    <row r="115">
      <c r="B115" s="161"/>
      <c r="C115" s="161"/>
      <c r="D115" s="161"/>
      <c r="E115" s="161"/>
      <c r="F115" s="161"/>
      <c r="G115" s="161"/>
      <c r="H115" s="161"/>
      <c r="I115" s="161"/>
      <c r="J115" s="161"/>
      <c r="K115" s="216" t="s">
        <v>872</v>
      </c>
      <c r="L115" s="941">
        <v>60.0</v>
      </c>
      <c r="M115" s="1037"/>
      <c r="N115" s="959">
        <v>2.0</v>
      </c>
      <c r="O115" s="959">
        <v>30.0</v>
      </c>
    </row>
    <row r="116">
      <c r="B116" s="161"/>
      <c r="C116" s="161"/>
      <c r="D116" s="161"/>
      <c r="E116" s="161"/>
      <c r="F116" s="161"/>
      <c r="G116" s="161"/>
      <c r="H116" s="161"/>
      <c r="I116" s="161"/>
      <c r="J116" s="161"/>
      <c r="K116" s="1021" t="s">
        <v>874</v>
      </c>
      <c r="L116" s="930">
        <v>450.0</v>
      </c>
      <c r="M116" s="1022" t="s">
        <v>699</v>
      </c>
      <c r="N116" s="1023">
        <v>12.0</v>
      </c>
      <c r="O116" s="1005">
        <v>260.0</v>
      </c>
    </row>
    <row r="117">
      <c r="B117" s="161"/>
      <c r="C117" s="161"/>
      <c r="D117" s="161"/>
      <c r="E117" s="161"/>
      <c r="F117" s="161"/>
      <c r="G117" s="161"/>
      <c r="H117" s="161"/>
      <c r="I117" s="161"/>
      <c r="J117" s="161"/>
      <c r="K117" s="1024" t="s">
        <v>877</v>
      </c>
      <c r="L117" s="970">
        <v>40.0</v>
      </c>
      <c r="M117" s="914"/>
      <c r="N117" s="914"/>
      <c r="O117" s="914"/>
    </row>
    <row r="118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</row>
    <row r="119">
      <c r="B119" s="161"/>
      <c r="C119" s="161"/>
      <c r="D119" s="161"/>
      <c r="E119" s="161"/>
      <c r="F119" s="161"/>
      <c r="G119" s="161"/>
      <c r="H119" s="161"/>
      <c r="I119" s="161"/>
      <c r="J119" s="161"/>
      <c r="K119" s="1008" t="s">
        <v>860</v>
      </c>
      <c r="L119" s="161"/>
      <c r="M119" s="161"/>
      <c r="N119" s="161"/>
      <c r="O119" s="161"/>
    </row>
    <row r="120">
      <c r="B120" s="161"/>
      <c r="C120" s="161"/>
      <c r="D120" s="161"/>
      <c r="E120" s="161"/>
      <c r="F120" s="161"/>
      <c r="G120" s="161"/>
      <c r="H120" s="161"/>
      <c r="I120" s="161"/>
      <c r="J120" s="161"/>
      <c r="K120" s="668">
        <f>'OM Process Flow'!I43</f>
        <v>45.14886767</v>
      </c>
      <c r="L120" s="161"/>
      <c r="M120" s="161"/>
      <c r="N120" s="161"/>
      <c r="O120" s="161"/>
    </row>
    <row r="121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</row>
    <row r="122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</row>
    <row r="123">
      <c r="B123" s="161"/>
      <c r="C123" s="161"/>
      <c r="D123" s="161"/>
      <c r="E123" s="161"/>
      <c r="F123" s="161"/>
      <c r="G123" s="161"/>
      <c r="H123" s="161"/>
      <c r="I123" s="161"/>
      <c r="J123" s="161"/>
      <c r="K123" s="1008" t="s">
        <v>868</v>
      </c>
      <c r="L123" s="161"/>
      <c r="M123" s="161"/>
      <c r="N123" s="161"/>
      <c r="O123" s="161"/>
    </row>
    <row r="124">
      <c r="B124" s="161"/>
      <c r="C124" s="161"/>
      <c r="D124" s="161"/>
      <c r="E124" s="161"/>
      <c r="F124" s="161"/>
      <c r="G124" s="161"/>
      <c r="H124" s="161"/>
      <c r="I124" s="161"/>
      <c r="J124" s="161"/>
      <c r="K124" s="668">
        <f>'OM Process Flow'!I47</f>
        <v>7</v>
      </c>
      <c r="L124" s="161"/>
      <c r="M124" s="161"/>
      <c r="N124" s="161"/>
      <c r="O124" s="161"/>
    </row>
    <row r="125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</row>
    <row r="126">
      <c r="B126" s="161"/>
      <c r="C126" s="161"/>
      <c r="D126" s="161"/>
      <c r="E126" s="161"/>
      <c r="F126" s="161"/>
      <c r="G126" s="161"/>
      <c r="H126" s="161"/>
      <c r="I126" s="161"/>
      <c r="J126" s="161"/>
      <c r="K126" s="1008" t="s">
        <v>875</v>
      </c>
      <c r="L126" s="161"/>
      <c r="M126" s="161"/>
      <c r="N126" s="161"/>
      <c r="O126" s="161"/>
    </row>
    <row r="127">
      <c r="B127" s="161"/>
      <c r="C127" s="161"/>
      <c r="D127" s="161"/>
      <c r="E127" s="161"/>
      <c r="F127" s="161"/>
      <c r="G127" s="161"/>
      <c r="H127" s="161"/>
      <c r="I127" s="161"/>
      <c r="J127" s="161"/>
      <c r="K127" s="938">
        <f>'OM Process Flow'!I50</f>
        <v>0.8226752754</v>
      </c>
      <c r="L127" s="161"/>
      <c r="M127" s="161"/>
      <c r="N127" s="161"/>
      <c r="O127" s="161"/>
    </row>
    <row r="128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</row>
    <row r="129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</row>
    <row r="130">
      <c r="B130" s="978" t="s">
        <v>883</v>
      </c>
      <c r="C130" s="979"/>
      <c r="D130" s="979"/>
      <c r="E130" s="979"/>
      <c r="F130" s="979"/>
      <c r="G130" s="979"/>
      <c r="H130" s="979"/>
      <c r="I130" s="980"/>
      <c r="J130" s="161"/>
      <c r="K130" s="978" t="s">
        <v>817</v>
      </c>
      <c r="L130" s="980"/>
      <c r="M130" s="161"/>
      <c r="N130" s="161"/>
      <c r="O130" s="161"/>
    </row>
    <row r="131">
      <c r="B131" s="161"/>
      <c r="C131" s="161"/>
      <c r="D131" s="161"/>
      <c r="E131" s="161"/>
      <c r="F131" s="161"/>
      <c r="G131" s="161"/>
      <c r="H131" s="161"/>
      <c r="I131" s="161"/>
      <c r="J131" s="161"/>
      <c r="K131" s="918" t="s">
        <v>862</v>
      </c>
      <c r="L131" s="983"/>
      <c r="M131" s="161"/>
      <c r="N131" s="161"/>
      <c r="O131" s="161"/>
    </row>
    <row r="132">
      <c r="B132" s="161"/>
      <c r="C132" s="161"/>
      <c r="D132" s="161"/>
      <c r="E132" s="161"/>
      <c r="F132" s="161"/>
      <c r="G132" s="161"/>
      <c r="H132" s="161"/>
      <c r="I132" s="161"/>
      <c r="J132" s="161"/>
      <c r="K132" s="918" t="s">
        <v>864</v>
      </c>
      <c r="L132" s="984"/>
      <c r="M132" s="161"/>
      <c r="N132" s="161"/>
      <c r="O132" s="161"/>
    </row>
    <row r="133">
      <c r="B133" s="161"/>
      <c r="C133" s="161"/>
      <c r="D133" s="161"/>
      <c r="E133" s="161"/>
      <c r="F133" s="161"/>
      <c r="G133" s="161"/>
      <c r="H133" s="161"/>
      <c r="I133" s="161"/>
      <c r="J133" s="161"/>
      <c r="K133" s="918" t="s">
        <v>866</v>
      </c>
      <c r="L133" s="986"/>
      <c r="M133" s="161"/>
      <c r="N133" s="161"/>
      <c r="O133" s="161"/>
    </row>
    <row r="134">
      <c r="B134" s="161"/>
      <c r="C134" s="161"/>
      <c r="D134" s="161"/>
      <c r="E134" s="161"/>
      <c r="F134" s="161"/>
      <c r="G134" s="161"/>
      <c r="H134" s="161"/>
      <c r="I134" s="161"/>
      <c r="J134" s="161"/>
      <c r="K134" s="918" t="s">
        <v>869</v>
      </c>
      <c r="L134" s="987"/>
      <c r="M134" s="161"/>
      <c r="N134" s="161"/>
      <c r="O134" s="161"/>
    </row>
    <row r="135">
      <c r="B135" s="161"/>
      <c r="C135" s="161"/>
      <c r="D135" s="161"/>
      <c r="E135" s="161"/>
      <c r="F135" s="161"/>
      <c r="G135" s="161"/>
      <c r="H135" s="161"/>
      <c r="I135" s="161"/>
      <c r="J135" s="161"/>
      <c r="K135" s="918" t="s">
        <v>871</v>
      </c>
      <c r="L135" s="1009"/>
      <c r="M135" s="161"/>
      <c r="N135" s="161"/>
      <c r="O135" s="161"/>
    </row>
    <row r="136">
      <c r="B136" s="161"/>
      <c r="C136" s="161"/>
      <c r="D136" s="161"/>
      <c r="E136" s="161"/>
      <c r="F136" s="161"/>
      <c r="G136" s="161"/>
      <c r="H136" s="161"/>
      <c r="I136" s="161"/>
      <c r="J136" s="161"/>
      <c r="K136" s="918" t="s">
        <v>873</v>
      </c>
      <c r="L136" s="1010"/>
      <c r="M136" s="161"/>
      <c r="N136" s="161"/>
      <c r="O136" s="161"/>
    </row>
    <row r="137">
      <c r="B137" s="161"/>
      <c r="C137" s="161"/>
      <c r="D137" s="161"/>
      <c r="E137" s="161"/>
      <c r="F137" s="161"/>
      <c r="G137" s="161"/>
      <c r="H137" s="161"/>
      <c r="I137" s="161"/>
      <c r="J137" s="161"/>
      <c r="K137" s="934" t="s">
        <v>876</v>
      </c>
      <c r="L137" s="1026"/>
      <c r="M137" s="161"/>
      <c r="N137" s="161"/>
      <c r="O137" s="161"/>
    </row>
    <row r="138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</row>
    <row r="139">
      <c r="B139" s="161"/>
      <c r="C139" s="161"/>
      <c r="D139" s="161"/>
      <c r="E139" s="161"/>
      <c r="F139" s="161"/>
      <c r="G139" s="161"/>
      <c r="H139" s="161"/>
      <c r="I139" s="161"/>
      <c r="J139" s="161"/>
      <c r="K139" s="1008" t="s">
        <v>36</v>
      </c>
      <c r="L139" s="161"/>
      <c r="M139" s="161"/>
      <c r="N139" s="161"/>
      <c r="O139" s="161"/>
    </row>
    <row r="140">
      <c r="B140" s="161"/>
      <c r="C140" s="161"/>
      <c r="D140" s="161"/>
      <c r="E140" s="161"/>
      <c r="F140" s="161"/>
      <c r="G140" s="161"/>
      <c r="H140" s="161"/>
      <c r="I140" s="161"/>
      <c r="J140" s="161"/>
      <c r="K140" s="905" t="s">
        <v>853</v>
      </c>
      <c r="L140" s="971" t="s">
        <v>854</v>
      </c>
      <c r="M140" s="940" t="s">
        <v>855</v>
      </c>
      <c r="N140" s="908" t="s">
        <v>856</v>
      </c>
      <c r="O140" s="908" t="s">
        <v>857</v>
      </c>
    </row>
    <row r="141">
      <c r="B141" s="161"/>
      <c r="C141" s="161"/>
      <c r="D141" s="161"/>
      <c r="E141" s="161"/>
      <c r="F141" s="161"/>
      <c r="G141" s="161"/>
      <c r="H141" s="161"/>
      <c r="I141" s="161"/>
      <c r="J141" s="161"/>
      <c r="K141" s="216" t="s">
        <v>859</v>
      </c>
      <c r="L141" s="941">
        <v>30.0</v>
      </c>
      <c r="M141" s="1011"/>
      <c r="N141" s="959">
        <v>1.0</v>
      </c>
      <c r="O141" s="974">
        <v>30.0</v>
      </c>
    </row>
    <row r="142">
      <c r="B142" s="161"/>
      <c r="C142" s="161"/>
      <c r="D142" s="161"/>
      <c r="E142" s="161"/>
      <c r="F142" s="161"/>
      <c r="G142" s="161"/>
      <c r="H142" s="161"/>
      <c r="I142" s="161"/>
      <c r="J142" s="161"/>
      <c r="K142" s="216" t="s">
        <v>861</v>
      </c>
      <c r="L142" s="941">
        <v>120.0</v>
      </c>
      <c r="M142" s="1035"/>
      <c r="N142" s="959">
        <v>4.0</v>
      </c>
      <c r="O142" s="974">
        <v>30.0</v>
      </c>
    </row>
    <row r="143">
      <c r="B143" s="161"/>
      <c r="C143" s="161"/>
      <c r="D143" s="161"/>
      <c r="E143" s="161"/>
      <c r="F143" s="161"/>
      <c r="G143" s="161"/>
      <c r="H143" s="161"/>
      <c r="I143" s="161"/>
      <c r="J143" s="161"/>
      <c r="K143" s="216" t="s">
        <v>863</v>
      </c>
      <c r="L143" s="941">
        <v>80.0</v>
      </c>
      <c r="M143" s="1038"/>
      <c r="N143" s="959">
        <v>3.0</v>
      </c>
      <c r="O143" s="974">
        <v>26.666666666666668</v>
      </c>
    </row>
    <row r="144">
      <c r="B144" s="161"/>
      <c r="C144" s="161"/>
      <c r="D144" s="161"/>
      <c r="E144" s="161"/>
      <c r="F144" s="161"/>
      <c r="G144" s="161"/>
      <c r="H144" s="161"/>
      <c r="I144" s="161"/>
      <c r="J144" s="161"/>
      <c r="K144" s="216" t="s">
        <v>865</v>
      </c>
      <c r="L144" s="941">
        <v>40.0</v>
      </c>
      <c r="M144" s="1030"/>
      <c r="N144" s="959">
        <v>2.0</v>
      </c>
      <c r="O144" s="974">
        <v>20.0</v>
      </c>
    </row>
    <row r="145">
      <c r="B145" s="161"/>
      <c r="C145" s="161"/>
      <c r="D145" s="161"/>
      <c r="E145" s="161"/>
      <c r="F145" s="161"/>
      <c r="G145" s="161"/>
      <c r="H145" s="161"/>
      <c r="I145" s="161"/>
      <c r="J145" s="161"/>
      <c r="K145" s="216" t="s">
        <v>867</v>
      </c>
      <c r="L145" s="941">
        <v>40.0</v>
      </c>
      <c r="M145" s="1039"/>
      <c r="N145" s="959">
        <v>2.0</v>
      </c>
      <c r="O145" s="974">
        <v>20.0</v>
      </c>
    </row>
    <row r="146">
      <c r="B146" s="161"/>
      <c r="C146" s="161"/>
      <c r="D146" s="161"/>
      <c r="E146" s="161"/>
      <c r="F146" s="161"/>
      <c r="G146" s="161"/>
      <c r="H146" s="161"/>
      <c r="I146" s="161"/>
      <c r="J146" s="161"/>
      <c r="K146" s="216" t="s">
        <v>870</v>
      </c>
      <c r="L146" s="941">
        <v>80.0</v>
      </c>
      <c r="M146" s="1033"/>
      <c r="N146" s="959">
        <v>3.0</v>
      </c>
      <c r="O146" s="974">
        <v>26.666666666666668</v>
      </c>
    </row>
    <row r="147">
      <c r="B147" s="161"/>
      <c r="C147" s="161"/>
      <c r="D147" s="161"/>
      <c r="E147" s="161"/>
      <c r="F147" s="161"/>
      <c r="G147" s="161"/>
      <c r="H147" s="161"/>
      <c r="I147" s="161"/>
      <c r="J147" s="161"/>
      <c r="K147" s="216" t="s">
        <v>872</v>
      </c>
      <c r="L147" s="941">
        <v>60.0</v>
      </c>
      <c r="M147" s="1037"/>
      <c r="N147" s="959">
        <v>2.0</v>
      </c>
      <c r="O147" s="974">
        <v>30.0</v>
      </c>
    </row>
    <row r="148">
      <c r="B148" s="161"/>
      <c r="C148" s="161"/>
      <c r="D148" s="161"/>
      <c r="E148" s="161"/>
      <c r="F148" s="161"/>
      <c r="G148" s="161"/>
      <c r="H148" s="161"/>
      <c r="I148" s="161"/>
      <c r="J148" s="161"/>
      <c r="K148" s="1021" t="s">
        <v>874</v>
      </c>
      <c r="L148" s="930">
        <v>450.0</v>
      </c>
      <c r="M148" s="1022" t="s">
        <v>699</v>
      </c>
      <c r="N148" s="1023">
        <v>17.0</v>
      </c>
      <c r="O148" s="1040">
        <v>183.33333333333334</v>
      </c>
    </row>
    <row r="149">
      <c r="B149" s="161"/>
      <c r="C149" s="161"/>
      <c r="D149" s="161"/>
      <c r="E149" s="161"/>
      <c r="F149" s="161"/>
      <c r="G149" s="161"/>
      <c r="H149" s="161"/>
      <c r="I149" s="161"/>
      <c r="J149" s="161"/>
      <c r="K149" s="1024" t="s">
        <v>877</v>
      </c>
      <c r="L149" s="970">
        <v>30.0</v>
      </c>
      <c r="M149" s="914"/>
      <c r="N149" s="914"/>
      <c r="O149" s="914"/>
    </row>
    <row r="15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</row>
    <row r="151">
      <c r="B151" s="161"/>
      <c r="C151" s="161"/>
      <c r="D151" s="161"/>
      <c r="E151" s="161"/>
      <c r="F151" s="161"/>
      <c r="G151" s="161"/>
      <c r="H151" s="161"/>
      <c r="I151" s="161"/>
      <c r="J151" s="161"/>
      <c r="K151" s="1008" t="s">
        <v>860</v>
      </c>
      <c r="L151" s="161"/>
      <c r="M151" s="161"/>
      <c r="N151" s="161"/>
      <c r="O151" s="161"/>
    </row>
    <row r="152">
      <c r="B152" s="161"/>
      <c r="C152" s="161"/>
      <c r="D152" s="161"/>
      <c r="E152" s="161"/>
      <c r="F152" s="161"/>
      <c r="G152" s="161"/>
      <c r="H152" s="161"/>
      <c r="I152" s="161"/>
      <c r="J152" s="161"/>
      <c r="K152" s="668">
        <f>'OM Process Flow'!I55</f>
        <v>30.16001155</v>
      </c>
      <c r="L152" s="161"/>
      <c r="M152" s="161"/>
      <c r="N152" s="161"/>
      <c r="O152" s="161"/>
    </row>
    <row r="153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</row>
    <row r="154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</row>
    <row r="155">
      <c r="B155" s="161"/>
      <c r="C155" s="161"/>
      <c r="D155" s="161"/>
      <c r="E155" s="161"/>
      <c r="F155" s="161"/>
      <c r="G155" s="161"/>
      <c r="H155" s="161"/>
      <c r="I155" s="161"/>
      <c r="J155" s="161"/>
      <c r="K155" s="1008" t="s">
        <v>868</v>
      </c>
      <c r="L155" s="161"/>
      <c r="M155" s="161"/>
      <c r="N155" s="161"/>
      <c r="O155" s="161"/>
    </row>
    <row r="156">
      <c r="B156" s="161"/>
      <c r="C156" s="161"/>
      <c r="D156" s="161"/>
      <c r="E156" s="161"/>
      <c r="F156" s="161"/>
      <c r="G156" s="161"/>
      <c r="H156" s="161"/>
      <c r="I156" s="161"/>
      <c r="J156" s="161"/>
      <c r="K156" s="668">
        <f>'OM Process Flow'!I59</f>
        <v>7</v>
      </c>
      <c r="L156" s="161"/>
      <c r="M156" s="161"/>
      <c r="N156" s="161"/>
      <c r="O156" s="161"/>
    </row>
    <row r="157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</row>
    <row r="158">
      <c r="B158" s="161"/>
      <c r="C158" s="161"/>
      <c r="D158" s="161"/>
      <c r="E158" s="161"/>
      <c r="F158" s="161"/>
      <c r="G158" s="161"/>
      <c r="H158" s="161"/>
      <c r="I158" s="161"/>
      <c r="J158" s="161"/>
      <c r="K158" s="1008" t="s">
        <v>875</v>
      </c>
      <c r="L158" s="161"/>
      <c r="M158" s="161"/>
      <c r="N158" s="161"/>
      <c r="O158" s="161"/>
    </row>
    <row r="159">
      <c r="B159" s="161"/>
      <c r="C159" s="161"/>
      <c r="D159" s="161"/>
      <c r="E159" s="161"/>
      <c r="F159" s="161"/>
      <c r="G159" s="161"/>
      <c r="H159" s="161"/>
      <c r="I159" s="161"/>
      <c r="J159" s="161"/>
      <c r="K159" s="938">
        <f>'OM Process Flow'!I62</f>
        <v>0.8683841566</v>
      </c>
      <c r="L159" s="161"/>
      <c r="M159" s="161"/>
      <c r="N159" s="161"/>
      <c r="O159" s="161"/>
    </row>
  </sheetData>
  <mergeCells count="37">
    <mergeCell ref="B34:I34"/>
    <mergeCell ref="K34:L34"/>
    <mergeCell ref="B2:I2"/>
    <mergeCell ref="K2:L2"/>
    <mergeCell ref="M10:M11"/>
    <mergeCell ref="N10:N11"/>
    <mergeCell ref="O10:O11"/>
    <mergeCell ref="N12:N13"/>
    <mergeCell ref="O12:O13"/>
    <mergeCell ref="M47:M48"/>
    <mergeCell ref="N47:N48"/>
    <mergeCell ref="O47:O48"/>
    <mergeCell ref="M51:M52"/>
    <mergeCell ref="N51:N52"/>
    <mergeCell ref="O51:O52"/>
    <mergeCell ref="B66:I66"/>
    <mergeCell ref="K66:L66"/>
    <mergeCell ref="M12:M13"/>
    <mergeCell ref="M14:M15"/>
    <mergeCell ref="N14:N15"/>
    <mergeCell ref="O14:O15"/>
    <mergeCell ref="M17:M18"/>
    <mergeCell ref="N17:N18"/>
    <mergeCell ref="O17:O18"/>
    <mergeCell ref="M116:M117"/>
    <mergeCell ref="B130:I130"/>
    <mergeCell ref="K130:L130"/>
    <mergeCell ref="M148:M149"/>
    <mergeCell ref="N148:N149"/>
    <mergeCell ref="O148:O149"/>
    <mergeCell ref="M84:M85"/>
    <mergeCell ref="N84:N85"/>
    <mergeCell ref="O84:O85"/>
    <mergeCell ref="B98:I98"/>
    <mergeCell ref="K98:L98"/>
    <mergeCell ref="N116:N117"/>
    <mergeCell ref="O116:O117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27.63"/>
    <col customWidth="1" min="3" max="4" width="24.13"/>
    <col customWidth="1" min="5" max="5" width="34.5"/>
    <col customWidth="1" min="6" max="6" width="24.5"/>
    <col customWidth="1" min="7" max="7" width="8.75"/>
    <col customWidth="1" min="8" max="8" width="26.38"/>
    <col customWidth="1" min="9" max="26" width="8.63"/>
  </cols>
  <sheetData>
    <row r="1" ht="14.25" customHeight="1"/>
    <row r="2" ht="14.25" customHeight="1">
      <c r="B2" s="1" t="s">
        <v>884</v>
      </c>
      <c r="C2" s="3"/>
      <c r="D2" s="364"/>
    </row>
    <row r="3" ht="14.25" customHeight="1"/>
    <row r="4" ht="14.25" customHeight="1">
      <c r="B4" s="655" t="s">
        <v>885</v>
      </c>
      <c r="C4" s="3"/>
      <c r="D4" s="364"/>
      <c r="E4" s="364"/>
      <c r="F4" s="364"/>
    </row>
    <row r="5" ht="14.25" customHeight="1">
      <c r="B5" s="364"/>
      <c r="C5" s="364"/>
      <c r="D5" s="364"/>
      <c r="E5" s="364"/>
      <c r="F5" s="364"/>
    </row>
    <row r="6" ht="14.25" customHeight="1">
      <c r="B6" s="188" t="s">
        <v>32</v>
      </c>
      <c r="C6" s="364"/>
      <c r="D6" s="364"/>
      <c r="E6" s="364"/>
      <c r="F6" s="364"/>
    </row>
    <row r="7" ht="14.25" customHeight="1">
      <c r="B7" s="1041" t="s">
        <v>853</v>
      </c>
      <c r="C7" s="1042" t="s">
        <v>854</v>
      </c>
      <c r="D7" s="1042" t="s">
        <v>886</v>
      </c>
      <c r="E7" s="1042" t="s">
        <v>698</v>
      </c>
      <c r="F7" s="1043" t="s">
        <v>887</v>
      </c>
      <c r="H7" s="188" t="s">
        <v>888</v>
      </c>
    </row>
    <row r="8" ht="14.25" customHeight="1">
      <c r="B8" s="225" t="s">
        <v>859</v>
      </c>
      <c r="C8" s="1044">
        <f>'OM Process Flow'!C6/D8</f>
        <v>30</v>
      </c>
      <c r="D8" s="1045">
        <v>1.0</v>
      </c>
      <c r="E8" s="1044">
        <f>'OM Process Flow'!$C$14</f>
        <v>120</v>
      </c>
      <c r="F8" s="1046">
        <f t="shared" ref="F8:F14" si="1">C8/E8</f>
        <v>0.25</v>
      </c>
      <c r="H8" s="668">
        <f>'OM Assumptions'!$C$7</f>
        <v>2000</v>
      </c>
    </row>
    <row r="9" ht="14.25" customHeight="1">
      <c r="B9" s="216" t="s">
        <v>861</v>
      </c>
      <c r="C9" s="909">
        <f>'OM Process Flow'!C7/D9</f>
        <v>120</v>
      </c>
      <c r="D9" s="1047">
        <v>1.0</v>
      </c>
      <c r="E9" s="909">
        <f>'OM Process Flow'!$C$14</f>
        <v>120</v>
      </c>
      <c r="F9" s="1048">
        <f t="shared" si="1"/>
        <v>1</v>
      </c>
    </row>
    <row r="10" ht="14.25" customHeight="1">
      <c r="B10" s="216" t="s">
        <v>863</v>
      </c>
      <c r="C10" s="909">
        <f>'OM Process Flow'!C8/D10</f>
        <v>80</v>
      </c>
      <c r="D10" s="1047">
        <v>1.0</v>
      </c>
      <c r="E10" s="909">
        <f>'OM Process Flow'!$C$14</f>
        <v>120</v>
      </c>
      <c r="F10" s="1048">
        <f t="shared" si="1"/>
        <v>0.6666666667</v>
      </c>
      <c r="H10" s="188" t="s">
        <v>889</v>
      </c>
    </row>
    <row r="11" ht="14.25" customHeight="1">
      <c r="B11" s="216" t="s">
        <v>865</v>
      </c>
      <c r="C11" s="909">
        <f>'OM Process Flow'!C9/D11</f>
        <v>40</v>
      </c>
      <c r="D11" s="1047">
        <v>1.0</v>
      </c>
      <c r="E11" s="909">
        <f>'OM Process Flow'!$C$14</f>
        <v>120</v>
      </c>
      <c r="F11" s="1048">
        <f t="shared" si="1"/>
        <v>0.3333333333</v>
      </c>
      <c r="H11" s="668">
        <f>((8*60*60)/E8)*250</f>
        <v>60000</v>
      </c>
    </row>
    <row r="12" ht="14.25" customHeight="1">
      <c r="B12" s="216" t="s">
        <v>867</v>
      </c>
      <c r="C12" s="909">
        <f>'OM Process Flow'!C10/D12</f>
        <v>40</v>
      </c>
      <c r="D12" s="1047">
        <v>1.0</v>
      </c>
      <c r="E12" s="909">
        <f>'OM Process Flow'!$C$14</f>
        <v>120</v>
      </c>
      <c r="F12" s="1048">
        <f t="shared" si="1"/>
        <v>0.3333333333</v>
      </c>
    </row>
    <row r="13" ht="14.25" customHeight="1">
      <c r="B13" s="216" t="s">
        <v>870</v>
      </c>
      <c r="C13" s="909">
        <f>'OM Process Flow'!C11/D13</f>
        <v>80</v>
      </c>
      <c r="D13" s="1047">
        <v>1.0</v>
      </c>
      <c r="E13" s="909">
        <f>'OM Process Flow'!$C$14</f>
        <v>120</v>
      </c>
      <c r="F13" s="1048">
        <f t="shared" si="1"/>
        <v>0.6666666667</v>
      </c>
      <c r="H13" s="188" t="s">
        <v>890</v>
      </c>
    </row>
    <row r="14" ht="14.25" customHeight="1">
      <c r="B14" s="218" t="s">
        <v>872</v>
      </c>
      <c r="C14" s="1049">
        <f>'OM Process Flow'!C12/D14</f>
        <v>60</v>
      </c>
      <c r="D14" s="1050">
        <v>1.0</v>
      </c>
      <c r="E14" s="1049">
        <f>'OM Process Flow'!$C$14</f>
        <v>120</v>
      </c>
      <c r="F14" s="1051">
        <f t="shared" si="1"/>
        <v>0.5</v>
      </c>
      <c r="H14" s="1052">
        <f>'MK Sales Projections'!C14/H11</f>
        <v>0.7869889541</v>
      </c>
    </row>
    <row r="15" ht="14.25" customHeight="1">
      <c r="E15" s="484" t="s">
        <v>891</v>
      </c>
      <c r="F15" s="1053">
        <f>AVERAGE(F8:F14)</f>
        <v>0.5357142857</v>
      </c>
    </row>
    <row r="16" ht="14.25" customHeight="1">
      <c r="B16" s="188" t="s">
        <v>33</v>
      </c>
      <c r="C16" s="364"/>
      <c r="D16" s="364"/>
      <c r="E16" s="364"/>
      <c r="F16" s="364"/>
    </row>
    <row r="17" ht="14.25" customHeight="1">
      <c r="B17" s="905" t="s">
        <v>853</v>
      </c>
      <c r="C17" s="906" t="s">
        <v>854</v>
      </c>
      <c r="D17" s="1042" t="s">
        <v>886</v>
      </c>
      <c r="E17" s="906" t="s">
        <v>698</v>
      </c>
      <c r="F17" s="971" t="s">
        <v>887</v>
      </c>
      <c r="H17" s="188" t="s">
        <v>888</v>
      </c>
    </row>
    <row r="18" ht="14.25" customHeight="1">
      <c r="B18" s="216" t="s">
        <v>859</v>
      </c>
      <c r="C18" s="1044">
        <f>'OM Process Flow'!C18/D18</f>
        <v>30</v>
      </c>
      <c r="D18" s="1044">
        <f>'OM Process Flow'!E18</f>
        <v>1</v>
      </c>
      <c r="E18" s="909">
        <f>'OM Process Flow'!$C$26</f>
        <v>80</v>
      </c>
      <c r="F18" s="1048">
        <f t="shared" ref="F18:F24" si="2">C18/E18</f>
        <v>0.375</v>
      </c>
      <c r="H18" s="668">
        <f>'OM Assumptions'!$C$7</f>
        <v>2000</v>
      </c>
    </row>
    <row r="19" ht="14.25" customHeight="1">
      <c r="B19" s="216" t="s">
        <v>861</v>
      </c>
      <c r="C19" s="909">
        <f>'OM Process Flow'!C19/D19</f>
        <v>60</v>
      </c>
      <c r="D19" s="909">
        <f>'OM Process Flow'!E19</f>
        <v>2</v>
      </c>
      <c r="E19" s="909">
        <f>'OM Process Flow'!$C$26</f>
        <v>80</v>
      </c>
      <c r="F19" s="1048">
        <f t="shared" si="2"/>
        <v>0.75</v>
      </c>
    </row>
    <row r="20" ht="14.25" customHeight="1">
      <c r="B20" s="216" t="s">
        <v>863</v>
      </c>
      <c r="C20" s="909">
        <f>'OM Process Flow'!C20/D20</f>
        <v>80</v>
      </c>
      <c r="D20" s="909">
        <f>'OM Process Flow'!E20</f>
        <v>1</v>
      </c>
      <c r="E20" s="909">
        <f>'OM Process Flow'!$C$26</f>
        <v>80</v>
      </c>
      <c r="F20" s="1048">
        <f t="shared" si="2"/>
        <v>1</v>
      </c>
      <c r="H20" s="188" t="s">
        <v>889</v>
      </c>
    </row>
    <row r="21" ht="14.25" customHeight="1">
      <c r="B21" s="216" t="s">
        <v>865</v>
      </c>
      <c r="C21" s="909">
        <f>'OM Process Flow'!C21/D21</f>
        <v>40</v>
      </c>
      <c r="D21" s="909">
        <f>'OM Process Flow'!E21</f>
        <v>1</v>
      </c>
      <c r="E21" s="909">
        <f>'OM Process Flow'!$C$26</f>
        <v>80</v>
      </c>
      <c r="F21" s="1048">
        <f t="shared" si="2"/>
        <v>0.5</v>
      </c>
      <c r="H21" s="668">
        <f>((8*60*60)/E18)*250</f>
        <v>90000</v>
      </c>
    </row>
    <row r="22" ht="14.25" customHeight="1">
      <c r="B22" s="216" t="s">
        <v>867</v>
      </c>
      <c r="C22" s="909">
        <f>'OM Process Flow'!C22/D22</f>
        <v>40</v>
      </c>
      <c r="D22" s="909">
        <v>1.0</v>
      </c>
      <c r="E22" s="909">
        <f>'OM Process Flow'!$C$26</f>
        <v>80</v>
      </c>
      <c r="F22" s="1048">
        <f t="shared" si="2"/>
        <v>0.5</v>
      </c>
    </row>
    <row r="23" ht="14.25" customHeight="1">
      <c r="B23" s="216" t="s">
        <v>870</v>
      </c>
      <c r="C23" s="909">
        <f>'OM Process Flow'!C23/D23</f>
        <v>80</v>
      </c>
      <c r="D23" s="909">
        <f>'OM Process Flow'!E23</f>
        <v>1</v>
      </c>
      <c r="E23" s="909">
        <f>'OM Process Flow'!$C$26</f>
        <v>80</v>
      </c>
      <c r="F23" s="1048">
        <f t="shared" si="2"/>
        <v>1</v>
      </c>
      <c r="H23" s="188" t="s">
        <v>890</v>
      </c>
    </row>
    <row r="24" ht="14.25" customHeight="1">
      <c r="B24" s="218" t="s">
        <v>872</v>
      </c>
      <c r="C24" s="1049">
        <f>'OM Process Flow'!C24/D24</f>
        <v>60</v>
      </c>
      <c r="D24" s="1049">
        <f>'OM Process Flow'!E24</f>
        <v>1</v>
      </c>
      <c r="E24" s="1049">
        <f>'OM Process Flow'!$C$26</f>
        <v>80</v>
      </c>
      <c r="F24" s="1051">
        <f t="shared" si="2"/>
        <v>0.75</v>
      </c>
      <c r="H24" s="1052">
        <f>'MK Sales Projections'!D14/'OM Capacity Analysis'!H21</f>
        <v>0.9022714417</v>
      </c>
    </row>
    <row r="25" ht="14.25" customHeight="1">
      <c r="E25" s="484" t="s">
        <v>891</v>
      </c>
      <c r="F25" s="1053">
        <f>AVERAGE(F18:F24)</f>
        <v>0.6964285714</v>
      </c>
    </row>
    <row r="26" ht="14.25" customHeight="1">
      <c r="B26" s="188" t="s">
        <v>34</v>
      </c>
      <c r="C26" s="364"/>
      <c r="D26" s="364"/>
      <c r="E26" s="364"/>
      <c r="F26" s="364"/>
    </row>
    <row r="27" ht="14.25" customHeight="1">
      <c r="B27" s="905" t="s">
        <v>853</v>
      </c>
      <c r="C27" s="1042" t="s">
        <v>854</v>
      </c>
      <c r="D27" s="1042" t="s">
        <v>886</v>
      </c>
      <c r="E27" s="906" t="s">
        <v>698</v>
      </c>
      <c r="F27" s="971" t="s">
        <v>887</v>
      </c>
      <c r="H27" s="188" t="s">
        <v>888</v>
      </c>
    </row>
    <row r="28" ht="14.25" customHeight="1">
      <c r="B28" s="216" t="s">
        <v>859</v>
      </c>
      <c r="C28" s="1044">
        <f>'OM Process Flow'!C30/D28</f>
        <v>30</v>
      </c>
      <c r="D28" s="1044">
        <f>'OM Process Flow'!E30</f>
        <v>1</v>
      </c>
      <c r="E28" s="909">
        <f>'OM Process Flow'!C38</f>
        <v>60</v>
      </c>
      <c r="F28" s="1048">
        <f t="shared" ref="F28:F34" si="3">C28/E28</f>
        <v>0.5</v>
      </c>
      <c r="H28" s="668">
        <f>'OM Assumptions'!$C$7</f>
        <v>2000</v>
      </c>
    </row>
    <row r="29" ht="14.25" customHeight="1">
      <c r="B29" s="216" t="s">
        <v>861</v>
      </c>
      <c r="C29" s="909">
        <f>'OM Process Flow'!C31/D29</f>
        <v>60</v>
      </c>
      <c r="D29" s="909">
        <f>'OM Process Flow'!E31</f>
        <v>2</v>
      </c>
      <c r="E29" s="909">
        <f>'OM Process Flow'!$C$38</f>
        <v>60</v>
      </c>
      <c r="F29" s="1048">
        <f t="shared" si="3"/>
        <v>1</v>
      </c>
    </row>
    <row r="30" ht="14.25" customHeight="1">
      <c r="B30" s="216" t="s">
        <v>863</v>
      </c>
      <c r="C30" s="909">
        <f>'OM Process Flow'!C32/D30</f>
        <v>40</v>
      </c>
      <c r="D30" s="909">
        <f>'OM Process Flow'!E32</f>
        <v>2</v>
      </c>
      <c r="E30" s="909">
        <f>'OM Process Flow'!$C$38</f>
        <v>60</v>
      </c>
      <c r="F30" s="1048">
        <f t="shared" si="3"/>
        <v>0.6666666667</v>
      </c>
      <c r="H30" s="188" t="s">
        <v>889</v>
      </c>
    </row>
    <row r="31" ht="14.25" customHeight="1">
      <c r="B31" s="216" t="s">
        <v>865</v>
      </c>
      <c r="C31" s="909">
        <f>'OM Process Flow'!C33/D31</f>
        <v>40</v>
      </c>
      <c r="D31" s="909">
        <f>'OM Process Flow'!E33</f>
        <v>1</v>
      </c>
      <c r="E31" s="909">
        <f>'OM Process Flow'!$C$38</f>
        <v>60</v>
      </c>
      <c r="F31" s="1048">
        <f t="shared" si="3"/>
        <v>0.6666666667</v>
      </c>
      <c r="H31" s="668">
        <f>((8*60*60)/E28)*250</f>
        <v>120000</v>
      </c>
    </row>
    <row r="32" ht="14.25" customHeight="1">
      <c r="B32" s="216" t="s">
        <v>867</v>
      </c>
      <c r="C32" s="909">
        <f>'OM Process Flow'!C34/D32</f>
        <v>40</v>
      </c>
      <c r="D32" s="909">
        <f>'OM Process Flow'!E34</f>
        <v>1</v>
      </c>
      <c r="E32" s="909">
        <f>'OM Process Flow'!$C$38</f>
        <v>60</v>
      </c>
      <c r="F32" s="1048">
        <f t="shared" si="3"/>
        <v>0.6666666667</v>
      </c>
    </row>
    <row r="33" ht="14.25" customHeight="1">
      <c r="B33" s="216" t="s">
        <v>870</v>
      </c>
      <c r="C33" s="909">
        <f>'OM Process Flow'!C35/D33</f>
        <v>40</v>
      </c>
      <c r="D33" s="909">
        <f>'OM Process Flow'!E35</f>
        <v>2</v>
      </c>
      <c r="E33" s="909">
        <f>'OM Process Flow'!$C$38</f>
        <v>60</v>
      </c>
      <c r="F33" s="1048">
        <f t="shared" si="3"/>
        <v>0.6666666667</v>
      </c>
      <c r="H33" s="188" t="s">
        <v>890</v>
      </c>
    </row>
    <row r="34" ht="14.25" customHeight="1">
      <c r="B34" s="218" t="s">
        <v>872</v>
      </c>
      <c r="C34" s="1049">
        <f>'OM Process Flow'!C36/D34</f>
        <v>60</v>
      </c>
      <c r="D34" s="1049">
        <f>'OM Process Flow'!E36</f>
        <v>1</v>
      </c>
      <c r="E34" s="1049">
        <f>'OM Process Flow'!$C$38</f>
        <v>60</v>
      </c>
      <c r="F34" s="1051">
        <f t="shared" si="3"/>
        <v>1</v>
      </c>
      <c r="H34" s="1052">
        <f>'MK Sales Projections'!E14/'OM Capacity Analysis'!H31</f>
        <v>0.8813627797</v>
      </c>
    </row>
    <row r="35" ht="14.25" customHeight="1">
      <c r="E35" s="484" t="s">
        <v>891</v>
      </c>
      <c r="F35" s="1053">
        <f>AVERAGE(F28:F34)</f>
        <v>0.7380952381</v>
      </c>
    </row>
    <row r="36" ht="14.25" customHeight="1">
      <c r="B36" s="188" t="s">
        <v>35</v>
      </c>
      <c r="C36" s="364"/>
      <c r="D36" s="364"/>
      <c r="E36" s="364"/>
      <c r="F36" s="364"/>
    </row>
    <row r="37" ht="14.25" customHeight="1">
      <c r="B37" s="905" t="s">
        <v>853</v>
      </c>
      <c r="C37" s="906" t="s">
        <v>854</v>
      </c>
      <c r="D37" s="906" t="s">
        <v>886</v>
      </c>
      <c r="E37" s="906" t="s">
        <v>698</v>
      </c>
      <c r="F37" s="971" t="s">
        <v>887</v>
      </c>
      <c r="H37" s="188" t="s">
        <v>888</v>
      </c>
    </row>
    <row r="38" ht="14.25" customHeight="1">
      <c r="B38" s="216" t="s">
        <v>859</v>
      </c>
      <c r="C38" s="909">
        <f>'OM Process Flow'!C42/D38</f>
        <v>30</v>
      </c>
      <c r="D38" s="1054">
        <v>1.0</v>
      </c>
      <c r="E38" s="909">
        <f>'OM Process Flow'!$C$50</f>
        <v>40</v>
      </c>
      <c r="F38" s="1048">
        <f t="shared" ref="F38:F44" si="4">C38/E38</f>
        <v>0.75</v>
      </c>
      <c r="H38" s="668">
        <f>'OM Assumptions'!$C$7</f>
        <v>2000</v>
      </c>
    </row>
    <row r="39" ht="14.25" customHeight="1">
      <c r="B39" s="216" t="s">
        <v>861</v>
      </c>
      <c r="C39" s="909">
        <f>'OM Process Flow'!C43/D39</f>
        <v>40</v>
      </c>
      <c r="D39" s="909">
        <v>3.0</v>
      </c>
      <c r="E39" s="909">
        <f>'OM Process Flow'!$C$50</f>
        <v>40</v>
      </c>
      <c r="F39" s="1048">
        <f t="shared" si="4"/>
        <v>1</v>
      </c>
    </row>
    <row r="40" ht="14.25" customHeight="1">
      <c r="B40" s="216" t="s">
        <v>863</v>
      </c>
      <c r="C40" s="909">
        <f>'OM Process Flow'!C44/D40</f>
        <v>40</v>
      </c>
      <c r="D40" s="909">
        <v>2.0</v>
      </c>
      <c r="E40" s="909">
        <f>'OM Process Flow'!$C$50</f>
        <v>40</v>
      </c>
      <c r="F40" s="1048">
        <f t="shared" si="4"/>
        <v>1</v>
      </c>
      <c r="H40" s="188" t="s">
        <v>889</v>
      </c>
    </row>
    <row r="41" ht="14.25" customHeight="1">
      <c r="B41" s="216" t="s">
        <v>865</v>
      </c>
      <c r="C41" s="909">
        <f>'OM Process Flow'!C45/D41</f>
        <v>40</v>
      </c>
      <c r="D41" s="909">
        <v>1.0</v>
      </c>
      <c r="E41" s="909">
        <f>'OM Process Flow'!$C$50</f>
        <v>40</v>
      </c>
      <c r="F41" s="1048">
        <f t="shared" si="4"/>
        <v>1</v>
      </c>
      <c r="H41" s="668">
        <f>((8*60*60)/E38)*250</f>
        <v>180000</v>
      </c>
    </row>
    <row r="42" ht="14.25" customHeight="1">
      <c r="B42" s="216" t="s">
        <v>867</v>
      </c>
      <c r="C42" s="909">
        <f>'OM Process Flow'!C46/D42</f>
        <v>40</v>
      </c>
      <c r="D42" s="909">
        <v>1.0</v>
      </c>
      <c r="E42" s="909">
        <f>'OM Process Flow'!$C$50</f>
        <v>40</v>
      </c>
      <c r="F42" s="1048">
        <f t="shared" si="4"/>
        <v>1</v>
      </c>
    </row>
    <row r="43" ht="14.25" customHeight="1">
      <c r="B43" s="216" t="s">
        <v>870</v>
      </c>
      <c r="C43" s="909">
        <f>'OM Process Flow'!C47/D43</f>
        <v>40</v>
      </c>
      <c r="D43" s="909">
        <v>2.0</v>
      </c>
      <c r="E43" s="909">
        <f>'OM Process Flow'!$C$50</f>
        <v>40</v>
      </c>
      <c r="F43" s="1048">
        <f t="shared" si="4"/>
        <v>1</v>
      </c>
      <c r="H43" s="188" t="s">
        <v>890</v>
      </c>
    </row>
    <row r="44" ht="14.25" customHeight="1">
      <c r="B44" s="218" t="s">
        <v>872</v>
      </c>
      <c r="C44" s="1049">
        <f>'OM Process Flow'!C48/D44</f>
        <v>30</v>
      </c>
      <c r="D44" s="1049">
        <v>2.0</v>
      </c>
      <c r="E44" s="1049">
        <f>'OM Process Flow'!$C$50</f>
        <v>40</v>
      </c>
      <c r="F44" s="1051">
        <f t="shared" si="4"/>
        <v>0.75</v>
      </c>
      <c r="H44" s="1052">
        <f>'MK Sales Projections'!F14/'OM Capacity Analysis'!H41</f>
        <v>0.8859579889</v>
      </c>
    </row>
    <row r="45" ht="14.25" customHeight="1">
      <c r="E45" s="484" t="s">
        <v>891</v>
      </c>
      <c r="F45" s="1053">
        <f>AVERAGE(F38:F44)</f>
        <v>0.9285714286</v>
      </c>
    </row>
    <row r="46" ht="14.25" customHeight="1">
      <c r="B46" s="188" t="s">
        <v>36</v>
      </c>
      <c r="C46" s="364"/>
      <c r="D46" s="364"/>
      <c r="E46" s="364"/>
      <c r="F46" s="364"/>
    </row>
    <row r="47" ht="14.25" customHeight="1">
      <c r="B47" s="905" t="s">
        <v>853</v>
      </c>
      <c r="C47" s="906" t="s">
        <v>854</v>
      </c>
      <c r="D47" s="906" t="s">
        <v>886</v>
      </c>
      <c r="E47" s="906" t="s">
        <v>698</v>
      </c>
      <c r="F47" s="971" t="s">
        <v>887</v>
      </c>
      <c r="H47" s="188" t="s">
        <v>888</v>
      </c>
    </row>
    <row r="48" ht="14.25" customHeight="1">
      <c r="B48" s="216" t="s">
        <v>859</v>
      </c>
      <c r="C48" s="909">
        <f>'OM Process Flow'!C54/D48</f>
        <v>30</v>
      </c>
      <c r="D48" s="1054">
        <v>1.0</v>
      </c>
      <c r="E48" s="909">
        <f>'OM Process Flow'!$C$62</f>
        <v>30</v>
      </c>
      <c r="F48" s="1048">
        <f t="shared" ref="F48:F54" si="5">C48/E48</f>
        <v>1</v>
      </c>
      <c r="H48" s="668">
        <f>'OM Assumptions'!$C$7</f>
        <v>2000</v>
      </c>
    </row>
    <row r="49" ht="14.25" customHeight="1">
      <c r="B49" s="216" t="s">
        <v>861</v>
      </c>
      <c r="C49" s="909">
        <f>'OM Process Flow'!C55/D49</f>
        <v>30</v>
      </c>
      <c r="D49" s="909">
        <v>4.0</v>
      </c>
      <c r="E49" s="909">
        <f>'OM Process Flow'!$C$62</f>
        <v>30</v>
      </c>
      <c r="F49" s="1048">
        <f t="shared" si="5"/>
        <v>1</v>
      </c>
    </row>
    <row r="50" ht="14.25" customHeight="1">
      <c r="B50" s="216" t="s">
        <v>863</v>
      </c>
      <c r="C50" s="909">
        <f>'OM Process Flow'!C56/D50</f>
        <v>26.66666667</v>
      </c>
      <c r="D50" s="909">
        <v>3.0</v>
      </c>
      <c r="E50" s="909">
        <f>'OM Process Flow'!$C$62</f>
        <v>30</v>
      </c>
      <c r="F50" s="1048">
        <f t="shared" si="5"/>
        <v>0.8888888889</v>
      </c>
      <c r="H50" s="188" t="s">
        <v>889</v>
      </c>
    </row>
    <row r="51" ht="14.25" customHeight="1">
      <c r="B51" s="216" t="s">
        <v>865</v>
      </c>
      <c r="C51" s="909">
        <f>'OM Process Flow'!C57/D51</f>
        <v>20</v>
      </c>
      <c r="D51" s="909">
        <v>2.0</v>
      </c>
      <c r="E51" s="909">
        <f>'OM Process Flow'!$C$62</f>
        <v>30</v>
      </c>
      <c r="F51" s="1048">
        <f t="shared" si="5"/>
        <v>0.6666666667</v>
      </c>
      <c r="H51" s="668">
        <f>((8*60*60)/E48)*250</f>
        <v>240000</v>
      </c>
    </row>
    <row r="52" ht="14.25" customHeight="1">
      <c r="B52" s="216" t="s">
        <v>867</v>
      </c>
      <c r="C52" s="909">
        <f>'OM Process Flow'!C58/D52</f>
        <v>20</v>
      </c>
      <c r="D52" s="909">
        <v>2.0</v>
      </c>
      <c r="E52" s="909">
        <f>'OM Process Flow'!$C$62</f>
        <v>30</v>
      </c>
      <c r="F52" s="1048">
        <f t="shared" si="5"/>
        <v>0.6666666667</v>
      </c>
    </row>
    <row r="53" ht="14.25" customHeight="1">
      <c r="B53" s="216" t="s">
        <v>870</v>
      </c>
      <c r="C53" s="909">
        <f>'OM Process Flow'!C59/D53</f>
        <v>26.66666667</v>
      </c>
      <c r="D53" s="909">
        <v>3.0</v>
      </c>
      <c r="E53" s="909">
        <f>'OM Process Flow'!$C$62</f>
        <v>30</v>
      </c>
      <c r="F53" s="1048">
        <f t="shared" si="5"/>
        <v>0.8888888889</v>
      </c>
      <c r="H53" s="188" t="s">
        <v>890</v>
      </c>
    </row>
    <row r="54" ht="14.25" customHeight="1">
      <c r="B54" s="218" t="s">
        <v>872</v>
      </c>
      <c r="C54" s="1049">
        <f>'OM Process Flow'!C60/D54</f>
        <v>30</v>
      </c>
      <c r="D54" s="1049">
        <v>2.0</v>
      </c>
      <c r="E54" s="1049">
        <f>'OM Process Flow'!$C$62</f>
        <v>30</v>
      </c>
      <c r="F54" s="1051">
        <f t="shared" si="5"/>
        <v>1</v>
      </c>
      <c r="H54" s="1052">
        <f>'MK Sales Projections'!G14/'OM Capacity Analysis'!H51</f>
        <v>0.9946945793</v>
      </c>
    </row>
    <row r="55" ht="14.25" customHeight="1">
      <c r="E55" s="484" t="s">
        <v>891</v>
      </c>
      <c r="F55" s="1053">
        <f>AVERAGE(F48:F54)</f>
        <v>0.873015873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C2"/>
    <mergeCell ref="B4:C4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1.88"/>
    <col customWidth="1" min="2" max="2" width="45.63"/>
    <col customWidth="1" min="3" max="3" width="19.13"/>
    <col customWidth="1" min="4" max="7" width="15.75"/>
  </cols>
  <sheetData>
    <row r="1">
      <c r="A1" s="575"/>
      <c r="B1" s="257"/>
      <c r="C1" s="257"/>
      <c r="D1" s="257"/>
      <c r="E1" s="257"/>
      <c r="F1" s="257"/>
      <c r="G1" s="257"/>
    </row>
    <row r="2">
      <c r="A2" s="575"/>
      <c r="B2" s="1" t="s">
        <v>892</v>
      </c>
      <c r="C2" s="3"/>
      <c r="D2" s="257"/>
      <c r="E2" s="257"/>
      <c r="F2" s="257"/>
      <c r="G2" s="257"/>
    </row>
    <row r="3">
      <c r="A3" s="161"/>
      <c r="B3" s="161"/>
    </row>
    <row r="4">
      <c r="A4" s="161"/>
      <c r="B4" s="1" t="s">
        <v>893</v>
      </c>
      <c r="C4" s="3"/>
    </row>
    <row r="5">
      <c r="A5" s="161"/>
      <c r="B5" s="326" t="s">
        <v>894</v>
      </c>
      <c r="C5" s="475" t="s">
        <v>32</v>
      </c>
      <c r="D5" s="475" t="s">
        <v>33</v>
      </c>
      <c r="E5" s="475" t="s">
        <v>34</v>
      </c>
      <c r="F5" s="475" t="s">
        <v>35</v>
      </c>
      <c r="G5" s="476" t="s">
        <v>36</v>
      </c>
    </row>
    <row r="6">
      <c r="A6" s="161"/>
      <c r="B6" s="720" t="s">
        <v>895</v>
      </c>
      <c r="C6" s="725">
        <f>'OM Location Analysis '!C7</f>
        <v>4940</v>
      </c>
      <c r="D6" s="725">
        <f>'OM Location Analysis '!D7</f>
        <v>4989.4</v>
      </c>
      <c r="E6" s="725">
        <f>'OM Location Analysis '!E7</f>
        <v>5039.294</v>
      </c>
      <c r="F6" s="725">
        <f>'OM Location Analysis '!F7</f>
        <v>5089.68694</v>
      </c>
      <c r="G6" s="726">
        <f>'OM Location Analysis '!G7</f>
        <v>5140.583809</v>
      </c>
    </row>
    <row r="7">
      <c r="A7" s="161"/>
      <c r="B7" s="720" t="s">
        <v>896</v>
      </c>
      <c r="C7" s="723">
        <f>'OM Location Analysis '!C10</f>
        <v>11.04</v>
      </c>
      <c r="D7" s="723">
        <f>'OM Location Analysis '!D10</f>
        <v>11.2608</v>
      </c>
      <c r="E7" s="723">
        <f>'OM Location Analysis '!E10</f>
        <v>11.486016</v>
      </c>
      <c r="F7" s="723">
        <f>'OM Location Analysis '!F10</f>
        <v>11.71573632</v>
      </c>
      <c r="G7" s="724">
        <f>'OM Location Analysis '!G10</f>
        <v>11.95005105</v>
      </c>
    </row>
    <row r="8">
      <c r="B8" s="720" t="s">
        <v>897</v>
      </c>
      <c r="C8" s="723">
        <f t="shared" ref="C8:G8" si="1">C6*C7</f>
        <v>54537.6</v>
      </c>
      <c r="D8" s="723">
        <f t="shared" si="1"/>
        <v>56184.63552</v>
      </c>
      <c r="E8" s="723">
        <f t="shared" si="1"/>
        <v>57881.41151</v>
      </c>
      <c r="F8" s="723">
        <f t="shared" si="1"/>
        <v>59629.43014</v>
      </c>
      <c r="G8" s="724">
        <f t="shared" si="1"/>
        <v>61430.23893</v>
      </c>
    </row>
    <row r="9">
      <c r="B9" s="720" t="s">
        <v>898</v>
      </c>
      <c r="C9" s="723">
        <f t="shared" ref="C9:G9" si="2">C22</f>
        <v>65771.16</v>
      </c>
      <c r="D9" s="723">
        <f t="shared" si="2"/>
        <v>67757.44903</v>
      </c>
      <c r="E9" s="723">
        <f t="shared" si="2"/>
        <v>69803.72399</v>
      </c>
      <c r="F9" s="723">
        <f t="shared" si="2"/>
        <v>71911.79646</v>
      </c>
      <c r="G9" s="724">
        <f t="shared" si="2"/>
        <v>74083.53271</v>
      </c>
    </row>
    <row r="10">
      <c r="B10" s="720" t="s">
        <v>899</v>
      </c>
      <c r="C10" s="727">
        <f t="shared" ref="C10:G10" si="3">C30</f>
        <v>301.34</v>
      </c>
      <c r="D10" s="727">
        <f t="shared" si="3"/>
        <v>325.9624914</v>
      </c>
      <c r="E10" s="727">
        <f t="shared" si="3"/>
        <v>352.5968866</v>
      </c>
      <c r="F10" s="727">
        <f t="shared" si="3"/>
        <v>381.4075782</v>
      </c>
      <c r="G10" s="728">
        <f t="shared" si="3"/>
        <v>412.5723914</v>
      </c>
    </row>
    <row r="11">
      <c r="B11" s="733" t="s">
        <v>900</v>
      </c>
      <c r="C11" s="1055">
        <f t="shared" ref="C11:G11" si="4">SUM(C8:C10)</f>
        <v>120610.1</v>
      </c>
      <c r="D11" s="1055">
        <f t="shared" si="4"/>
        <v>124268.047</v>
      </c>
      <c r="E11" s="1055">
        <f t="shared" si="4"/>
        <v>128037.7324</v>
      </c>
      <c r="F11" s="1055">
        <f t="shared" si="4"/>
        <v>131922.6342</v>
      </c>
      <c r="G11" s="1056">
        <f t="shared" si="4"/>
        <v>135926.344</v>
      </c>
    </row>
    <row r="12">
      <c r="B12" s="720" t="s">
        <v>901</v>
      </c>
      <c r="C12" s="723">
        <f>C11/'MK Sales Projections'!C14</f>
        <v>2.554252284</v>
      </c>
      <c r="D12" s="723">
        <f>D11/'MK Sales Projections'!D14</f>
        <v>1.530311184</v>
      </c>
      <c r="E12" s="723">
        <f>E11/'MK Sales Projections'!E14</f>
        <v>1.210603769</v>
      </c>
      <c r="F12" s="723">
        <f>F11/'MK Sales Projections'!F14</f>
        <v>0.8272441045</v>
      </c>
      <c r="G12" s="724">
        <f>G11/'MK Sales Projections'!G14</f>
        <v>0.5693805702</v>
      </c>
    </row>
    <row r="13">
      <c r="B13" s="1057" t="s">
        <v>902</v>
      </c>
      <c r="C13" s="1058">
        <f>'OM Direct Materials &amp; Direct La'!F33*'OM Assumptions'!$F$25</f>
        <v>1.531444728</v>
      </c>
      <c r="D13" s="1058">
        <f>'OM Direct Materials &amp; Direct La'!F51*'OM Assumptions'!$F$25</f>
        <v>1.531444728</v>
      </c>
      <c r="E13" s="1058">
        <f>'OM Direct Materials &amp; Direct La'!F68*'OM Assumptions'!$F$25</f>
        <v>1.531444728</v>
      </c>
      <c r="F13" s="1058">
        <f>'OM Direct Materials &amp; Direct La'!F85*'OM Assumptions'!$F$25</f>
        <v>1.531444728</v>
      </c>
      <c r="G13" s="1059">
        <f>'OM Direct Materials &amp; Direct La'!F102*'OM Assumptions'!$F$25</f>
        <v>1.531444728</v>
      </c>
    </row>
    <row r="14">
      <c r="B14" s="1060" t="s">
        <v>903</v>
      </c>
      <c r="C14" s="1061">
        <f t="shared" ref="C14:G14" si="5">SUM(C12:C13)</f>
        <v>4.085697012</v>
      </c>
      <c r="D14" s="1061">
        <f t="shared" si="5"/>
        <v>3.061755912</v>
      </c>
      <c r="E14" s="1061">
        <f t="shared" si="5"/>
        <v>2.742048498</v>
      </c>
      <c r="F14" s="1061">
        <f t="shared" si="5"/>
        <v>2.358688833</v>
      </c>
      <c r="G14" s="1062">
        <f t="shared" si="5"/>
        <v>2.100825299</v>
      </c>
    </row>
    <row r="15">
      <c r="B15" s="1063" t="s">
        <v>904</v>
      </c>
      <c r="C15" s="1064">
        <f>C14*'MK Sales Projections'!C14</f>
        <v>192923.9051</v>
      </c>
      <c r="D15" s="1064">
        <f>D14*'MK Sales Projections'!D14</f>
        <v>248628.1429</v>
      </c>
      <c r="E15" s="1064">
        <f>E14*'MK Sales Projections'!E14</f>
        <v>290008.7383</v>
      </c>
      <c r="F15" s="1064">
        <f>F14*'MK Sales Projections'!F14</f>
        <v>376145.8587</v>
      </c>
      <c r="G15" s="1065">
        <f>G14*'MK Sales Projections'!G14</f>
        <v>501523.0888</v>
      </c>
    </row>
    <row r="16">
      <c r="B16" s="257"/>
      <c r="C16" s="1066"/>
      <c r="D16" s="1066"/>
      <c r="E16" s="1066"/>
      <c r="F16" s="1066"/>
      <c r="G16" s="1066"/>
    </row>
    <row r="17">
      <c r="B17" s="1" t="s">
        <v>905</v>
      </c>
      <c r="C17" s="3"/>
    </row>
    <row r="18">
      <c r="B18" s="326"/>
      <c r="C18" s="475" t="s">
        <v>32</v>
      </c>
      <c r="D18" s="475" t="s">
        <v>33</v>
      </c>
      <c r="E18" s="475" t="s">
        <v>34</v>
      </c>
      <c r="F18" s="475" t="s">
        <v>35</v>
      </c>
      <c r="G18" s="476" t="s">
        <v>36</v>
      </c>
    </row>
    <row r="19">
      <c r="B19" s="720" t="s">
        <v>906</v>
      </c>
      <c r="C19" s="723">
        <f>'OM Assumptions'!F18</f>
        <v>0.14</v>
      </c>
      <c r="D19" s="723">
        <f>C19*(1+'OM Assumptions'!$F$19)</f>
        <v>0.1428</v>
      </c>
      <c r="E19" s="723">
        <f>D19*(1+'OM Assumptions'!$F$19)</f>
        <v>0.145656</v>
      </c>
      <c r="F19" s="723">
        <f>E19*(1+'OM Assumptions'!$F$19)</f>
        <v>0.14856912</v>
      </c>
      <c r="G19" s="724">
        <f>F19*(1+'OM Assumptions'!$F$19)</f>
        <v>0.1515405024</v>
      </c>
    </row>
    <row r="20">
      <c r="B20" s="720" t="s">
        <v>907</v>
      </c>
      <c r="C20" s="725">
        <f t="shared" ref="C20:G20" si="6">C21*C6</f>
        <v>469794</v>
      </c>
      <c r="D20" s="725">
        <f t="shared" si="6"/>
        <v>474491.94</v>
      </c>
      <c r="E20" s="725">
        <f t="shared" si="6"/>
        <v>479236.8594</v>
      </c>
      <c r="F20" s="725">
        <f t="shared" si="6"/>
        <v>484029.228</v>
      </c>
      <c r="G20" s="726">
        <f t="shared" si="6"/>
        <v>488869.5203</v>
      </c>
    </row>
    <row r="21">
      <c r="B21" s="720" t="s">
        <v>908</v>
      </c>
      <c r="C21" s="1067">
        <v>95.1</v>
      </c>
      <c r="D21" s="1067">
        <v>95.1</v>
      </c>
      <c r="E21" s="1067">
        <v>95.1</v>
      </c>
      <c r="F21" s="1067">
        <v>95.1</v>
      </c>
      <c r="G21" s="1068">
        <v>95.1</v>
      </c>
      <c r="H21" s="364"/>
    </row>
    <row r="22">
      <c r="B22" s="733" t="s">
        <v>898</v>
      </c>
      <c r="C22" s="1055">
        <f t="shared" ref="C22:G22" si="7">C20*C19</f>
        <v>65771.16</v>
      </c>
      <c r="D22" s="1055">
        <f t="shared" si="7"/>
        <v>67757.44903</v>
      </c>
      <c r="E22" s="1055">
        <f t="shared" si="7"/>
        <v>69803.72399</v>
      </c>
      <c r="F22" s="1055">
        <f t="shared" si="7"/>
        <v>71911.79646</v>
      </c>
      <c r="G22" s="1056">
        <f t="shared" si="7"/>
        <v>74083.53271</v>
      </c>
    </row>
    <row r="23">
      <c r="B23" s="1069" t="s">
        <v>132</v>
      </c>
      <c r="C23" s="1070">
        <f>C22/'MK Sales Projections'!$C$14</f>
        <v>1.392886132</v>
      </c>
      <c r="D23" s="1070">
        <f>D22/'MK Sales Projections'!$C$14</f>
        <v>1.434951293</v>
      </c>
      <c r="E23" s="1070">
        <f>E22/'MK Sales Projections'!$C$14</f>
        <v>1.478286822</v>
      </c>
      <c r="F23" s="1070">
        <f>F22/'MK Sales Projections'!$C$14</f>
        <v>1.522931084</v>
      </c>
      <c r="G23" s="1071">
        <f>G22/'MK Sales Projections'!$C$14</f>
        <v>1.568923603</v>
      </c>
    </row>
    <row r="25">
      <c r="B25" s="199" t="s">
        <v>909</v>
      </c>
      <c r="C25" s="397"/>
    </row>
    <row r="26">
      <c r="B26" s="1072" t="s">
        <v>910</v>
      </c>
      <c r="C26" s="1073" t="s">
        <v>32</v>
      </c>
      <c r="D26" s="1073" t="s">
        <v>33</v>
      </c>
      <c r="E26" s="1073" t="s">
        <v>34</v>
      </c>
      <c r="F26" s="1073" t="s">
        <v>35</v>
      </c>
      <c r="G26" s="1074" t="s">
        <v>36</v>
      </c>
    </row>
    <row r="27">
      <c r="B27" s="1075" t="s">
        <v>911</v>
      </c>
      <c r="C27" s="1076">
        <f>'OM Assumptions'!$F$17</f>
        <v>0.00305</v>
      </c>
      <c r="D27" s="1076">
        <f>C27*(1+('OM Assumptions'!$F$21))</f>
        <v>0.003111</v>
      </c>
      <c r="E27" s="1076">
        <f>D27*(1+('OM Assumptions'!$F$21))</f>
        <v>0.00317322</v>
      </c>
      <c r="F27" s="1076">
        <f>E27*(1+('OM Assumptions'!$F$21))</f>
        <v>0.0032366844</v>
      </c>
      <c r="G27" s="1077">
        <f>F27*(1+('OM Assumptions'!$F$21))</f>
        <v>0.003301418088</v>
      </c>
    </row>
    <row r="28">
      <c r="B28" s="1078" t="s">
        <v>912</v>
      </c>
      <c r="C28" s="1079">
        <v>20.0</v>
      </c>
      <c r="D28" s="1080">
        <f>C28*((1+('OM Assumptions'!$F$22)))</f>
        <v>21</v>
      </c>
      <c r="E28" s="1080">
        <f>D28*((1+('OM Assumptions'!$F$22)))</f>
        <v>22.05</v>
      </c>
      <c r="F28" s="1080">
        <f>E28*((1+('OM Assumptions'!$F$22)))</f>
        <v>23.1525</v>
      </c>
      <c r="G28" s="1081">
        <f>F28*((1+('OM Assumptions'!$F$22)))</f>
        <v>24.310125</v>
      </c>
      <c r="H28" s="1082"/>
    </row>
    <row r="29">
      <c r="B29" s="1078" t="s">
        <v>913</v>
      </c>
      <c r="C29" s="1080">
        <f t="shared" ref="C29:G29" si="8">C28*C6</f>
        <v>98800</v>
      </c>
      <c r="D29" s="1080">
        <f t="shared" si="8"/>
        <v>104777.4</v>
      </c>
      <c r="E29" s="1080">
        <f t="shared" si="8"/>
        <v>111116.4327</v>
      </c>
      <c r="F29" s="1080">
        <f t="shared" si="8"/>
        <v>117838.9769</v>
      </c>
      <c r="G29" s="1081">
        <f t="shared" si="8"/>
        <v>124968.235</v>
      </c>
    </row>
    <row r="30">
      <c r="B30" s="1083" t="s">
        <v>899</v>
      </c>
      <c r="C30" s="1084">
        <f t="shared" ref="C30:G30" si="9">C29*C27</f>
        <v>301.34</v>
      </c>
      <c r="D30" s="1084">
        <f t="shared" si="9"/>
        <v>325.9624914</v>
      </c>
      <c r="E30" s="1084">
        <f t="shared" si="9"/>
        <v>352.5968866</v>
      </c>
      <c r="F30" s="1084">
        <f t="shared" si="9"/>
        <v>381.4075782</v>
      </c>
      <c r="G30" s="1085">
        <f t="shared" si="9"/>
        <v>412.5723914</v>
      </c>
    </row>
    <row r="31">
      <c r="B31" s="1086" t="s">
        <v>132</v>
      </c>
      <c r="C31" s="1087">
        <f>C30/'MK Sales Projections'!$C$14</f>
        <v>0.006381707528</v>
      </c>
      <c r="D31" s="1087">
        <f>D30/'MK Sales Projections'!$C$14</f>
        <v>0.006903156851</v>
      </c>
      <c r="E31" s="1087">
        <f>E30/'MK Sales Projections'!$C$14</f>
        <v>0.007467213797</v>
      </c>
      <c r="F31" s="1087">
        <f>F30/'MK Sales Projections'!$C$14</f>
        <v>0.008077359836</v>
      </c>
      <c r="G31" s="1088">
        <f>G30/'MK Sales Projections'!$C$14</f>
        <v>0.008737360908</v>
      </c>
    </row>
  </sheetData>
  <mergeCells count="4">
    <mergeCell ref="B2:C2"/>
    <mergeCell ref="B4:C4"/>
    <mergeCell ref="B17:C17"/>
    <mergeCell ref="B25:C25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9.88"/>
    <col customWidth="1" min="2" max="2" width="39.13"/>
    <col customWidth="1" min="3" max="3" width="19.13"/>
    <col customWidth="1" min="5" max="5" width="21.13"/>
    <col customWidth="1" min="6" max="6" width="18.13"/>
    <col customWidth="1" min="7" max="7" width="16.25"/>
    <col customWidth="1" min="8" max="8" width="19.13"/>
    <col customWidth="1" min="9" max="9" width="15.25"/>
  </cols>
  <sheetData>
    <row r="1">
      <c r="A1" s="575"/>
      <c r="B1" s="257"/>
      <c r="C1" s="257"/>
      <c r="D1" s="257"/>
      <c r="E1" s="257"/>
      <c r="F1" s="257"/>
      <c r="G1" s="257"/>
    </row>
    <row r="2">
      <c r="A2" s="575"/>
      <c r="B2" s="1" t="s">
        <v>914</v>
      </c>
      <c r="C2" s="3"/>
      <c r="D2" s="257"/>
      <c r="E2" s="257"/>
      <c r="F2" s="257"/>
      <c r="G2" s="257"/>
    </row>
    <row r="3">
      <c r="A3" s="161"/>
    </row>
    <row r="4">
      <c r="A4" s="161"/>
      <c r="B4" s="199" t="s">
        <v>915</v>
      </c>
      <c r="C4" s="397"/>
    </row>
    <row r="5">
      <c r="A5" s="161"/>
      <c r="B5" s="1072" t="s">
        <v>916</v>
      </c>
      <c r="C5" s="1073" t="s">
        <v>32</v>
      </c>
      <c r="D5" s="1073" t="s">
        <v>33</v>
      </c>
      <c r="E5" s="1073" t="s">
        <v>34</v>
      </c>
      <c r="F5" s="1073" t="s">
        <v>35</v>
      </c>
      <c r="G5" s="1074" t="s">
        <v>36</v>
      </c>
    </row>
    <row r="6">
      <c r="A6" s="1089"/>
      <c r="B6" s="1090" t="s">
        <v>917</v>
      </c>
      <c r="C6" s="1091">
        <v>5200.0</v>
      </c>
      <c r="D6" s="1091">
        <f>C6*(1+'OM Assumptions'!$F$13)</f>
        <v>5252</v>
      </c>
      <c r="E6" s="1091">
        <f>D6*(1+'OM Assumptions'!$F$13)</f>
        <v>5304.52</v>
      </c>
      <c r="F6" s="1091">
        <f>E6*(1+'OM Assumptions'!$F$13)</f>
        <v>5357.5652</v>
      </c>
      <c r="G6" s="1092">
        <f>F6*(1+'OM Assumptions'!$F$13)</f>
        <v>5411.140852</v>
      </c>
    </row>
    <row r="7">
      <c r="B7" s="1093" t="s">
        <v>918</v>
      </c>
      <c r="C7" s="725">
        <f t="shared" ref="C7:G7" si="1">C6-C8</f>
        <v>4940</v>
      </c>
      <c r="D7" s="725">
        <f t="shared" si="1"/>
        <v>4989.4</v>
      </c>
      <c r="E7" s="725">
        <f t="shared" si="1"/>
        <v>5039.294</v>
      </c>
      <c r="F7" s="725">
        <f t="shared" si="1"/>
        <v>5089.68694</v>
      </c>
      <c r="G7" s="1094">
        <f t="shared" si="1"/>
        <v>5140.583809</v>
      </c>
    </row>
    <row r="8">
      <c r="B8" s="1093" t="s">
        <v>919</v>
      </c>
      <c r="C8" s="725">
        <f>C6*'OM Assumptions'!$F$14</f>
        <v>260</v>
      </c>
      <c r="D8" s="725">
        <f>D6*'OM Assumptions'!$F$14</f>
        <v>262.6</v>
      </c>
      <c r="E8" s="725">
        <f>E6*'OM Assumptions'!$F$14</f>
        <v>265.226</v>
      </c>
      <c r="F8" s="725">
        <f>F6*'OM Assumptions'!$F$14</f>
        <v>267.87826</v>
      </c>
      <c r="G8" s="1094">
        <f>G6*'OM Assumptions'!$F$14</f>
        <v>270.5570426</v>
      </c>
    </row>
    <row r="9">
      <c r="B9" s="1095" t="s">
        <v>920</v>
      </c>
      <c r="C9" s="1096">
        <f>'OM Assumptions'!F15</f>
        <v>0.92</v>
      </c>
      <c r="D9" s="1096">
        <f>C9*(1+'OM Assumptions'!$F$16)</f>
        <v>0.9384</v>
      </c>
      <c r="E9" s="1096">
        <f>D9*(1+'OM Assumptions'!$F$16)</f>
        <v>0.957168</v>
      </c>
      <c r="F9" s="1096">
        <f>E9*(1+'OM Assumptions'!$F$16)</f>
        <v>0.97631136</v>
      </c>
      <c r="G9" s="1097">
        <f>F9*(1+'OM Assumptions'!$F$16)</f>
        <v>0.9958375872</v>
      </c>
    </row>
    <row r="10">
      <c r="B10" s="1095" t="s">
        <v>921</v>
      </c>
      <c r="C10" s="1096">
        <f t="shared" ref="C10:G10" si="2">C9*12</f>
        <v>11.04</v>
      </c>
      <c r="D10" s="1096">
        <f t="shared" si="2"/>
        <v>11.2608</v>
      </c>
      <c r="E10" s="1096">
        <f t="shared" si="2"/>
        <v>11.486016</v>
      </c>
      <c r="F10" s="1096">
        <f t="shared" si="2"/>
        <v>11.71573632</v>
      </c>
      <c r="G10" s="1097">
        <f t="shared" si="2"/>
        <v>11.95005105</v>
      </c>
    </row>
    <row r="11">
      <c r="B11" s="1098" t="s">
        <v>922</v>
      </c>
      <c r="C11" s="1099">
        <f t="shared" ref="C11:G11" si="3">C7*C10</f>
        <v>54537.6</v>
      </c>
      <c r="D11" s="1099">
        <f t="shared" si="3"/>
        <v>56184.63552</v>
      </c>
      <c r="E11" s="1099">
        <f t="shared" si="3"/>
        <v>57881.41151</v>
      </c>
      <c r="F11" s="1099">
        <f t="shared" si="3"/>
        <v>59629.43014</v>
      </c>
      <c r="G11" s="1100">
        <f t="shared" si="3"/>
        <v>61430.23893</v>
      </c>
    </row>
    <row r="12">
      <c r="B12" s="1098" t="s">
        <v>923</v>
      </c>
      <c r="C12" s="1099">
        <f t="shared" ref="C12:G12" si="4">C8*C10</f>
        <v>2870.4</v>
      </c>
      <c r="D12" s="1099">
        <f t="shared" si="4"/>
        <v>2957.08608</v>
      </c>
      <c r="E12" s="1099">
        <f t="shared" si="4"/>
        <v>3046.39008</v>
      </c>
      <c r="F12" s="1099">
        <f t="shared" si="4"/>
        <v>3138.39106</v>
      </c>
      <c r="G12" s="1100">
        <f t="shared" si="4"/>
        <v>3233.17047</v>
      </c>
      <c r="I12" s="236" t="s">
        <v>924</v>
      </c>
    </row>
    <row r="13">
      <c r="B13" s="1101" t="s">
        <v>925</v>
      </c>
      <c r="C13" s="1102">
        <f t="shared" ref="C13:G13" si="5">SUM(C11:C12)*$I$13</f>
        <v>57408</v>
      </c>
      <c r="D13" s="1102">
        <f t="shared" si="5"/>
        <v>59141.7216</v>
      </c>
      <c r="E13" s="1102">
        <f t="shared" si="5"/>
        <v>60927.80159</v>
      </c>
      <c r="F13" s="1102">
        <f t="shared" si="5"/>
        <v>62767.8212</v>
      </c>
      <c r="G13" s="1103">
        <f t="shared" si="5"/>
        <v>64663.4094</v>
      </c>
      <c r="I13" s="240">
        <v>1.0</v>
      </c>
    </row>
    <row r="14">
      <c r="B14" s="257"/>
      <c r="C14" s="257"/>
      <c r="D14" s="257"/>
      <c r="E14" s="257"/>
      <c r="F14" s="257"/>
      <c r="G14" s="257"/>
    </row>
    <row r="15">
      <c r="B15" s="1104" t="s">
        <v>926</v>
      </c>
      <c r="C15" s="1105"/>
      <c r="D15" s="257"/>
      <c r="E15" s="257"/>
      <c r="F15" s="257"/>
      <c r="G15" s="257"/>
    </row>
    <row r="16">
      <c r="B16" s="1106" t="s">
        <v>927</v>
      </c>
      <c r="C16" s="1107" t="s">
        <v>928</v>
      </c>
      <c r="D16" s="1108" t="s">
        <v>929</v>
      </c>
      <c r="E16" s="1108" t="s">
        <v>359</v>
      </c>
      <c r="F16" s="1108" t="s">
        <v>930</v>
      </c>
      <c r="G16" s="1109" t="s">
        <v>931</v>
      </c>
      <c r="H16" s="1110" t="s">
        <v>932</v>
      </c>
      <c r="I16" s="1111"/>
    </row>
    <row r="17">
      <c r="B17" s="1112" t="s">
        <v>933</v>
      </c>
      <c r="C17" s="1113"/>
      <c r="D17" s="1114"/>
      <c r="E17" s="1114"/>
      <c r="F17" s="1115"/>
      <c r="G17" s="1116">
        <f>'MK Sales Projections'!C14</f>
        <v>47219.33725</v>
      </c>
      <c r="H17" s="1117"/>
    </row>
    <row r="18">
      <c r="B18" s="1118" t="s">
        <v>934</v>
      </c>
      <c r="C18" s="1119">
        <v>-122.4194</v>
      </c>
      <c r="D18" s="1119">
        <v>37.7749</v>
      </c>
      <c r="E18" s="1120">
        <f>740*1000000</f>
        <v>740000000</v>
      </c>
      <c r="F18" s="1121">
        <v>0.094</v>
      </c>
      <c r="G18" s="1114"/>
      <c r="H18" s="1122">
        <f t="shared" ref="H18:H27" si="6">F18*$G$17</f>
        <v>4438.617701</v>
      </c>
    </row>
    <row r="19">
      <c r="B19" s="1123" t="s">
        <v>935</v>
      </c>
      <c r="C19" s="1119">
        <v>-74.006</v>
      </c>
      <c r="D19" s="1119">
        <v>40.7128</v>
      </c>
      <c r="E19" s="1120">
        <f>317.1*1000000</f>
        <v>317100000</v>
      </c>
      <c r="F19" s="1124">
        <v>0.04</v>
      </c>
      <c r="G19" s="1125"/>
      <c r="H19" s="1122">
        <f t="shared" si="6"/>
        <v>1888.77349</v>
      </c>
    </row>
    <row r="20">
      <c r="B20" s="1123" t="s">
        <v>936</v>
      </c>
      <c r="C20" s="1119">
        <v>-93.265</v>
      </c>
      <c r="D20" s="1119">
        <v>44.9778</v>
      </c>
      <c r="E20" s="1120">
        <f>210*1000000</f>
        <v>210000000</v>
      </c>
      <c r="F20" s="1121">
        <v>0.027</v>
      </c>
      <c r="G20" s="1125"/>
      <c r="H20" s="1122">
        <f t="shared" si="6"/>
        <v>1274.922106</v>
      </c>
    </row>
    <row r="21">
      <c r="B21" s="1123" t="s">
        <v>937</v>
      </c>
      <c r="C21" s="1119">
        <v>-77.0369</v>
      </c>
      <c r="D21" s="1119">
        <v>38.9072</v>
      </c>
      <c r="E21" s="1120">
        <f>151.2*1000000</f>
        <v>151200000</v>
      </c>
      <c r="F21" s="1121">
        <v>0.019</v>
      </c>
      <c r="G21" s="1125"/>
      <c r="H21" s="1122">
        <f t="shared" si="6"/>
        <v>897.1674077</v>
      </c>
    </row>
    <row r="22">
      <c r="B22" s="1123" t="s">
        <v>938</v>
      </c>
      <c r="C22" s="1119">
        <v>-71.0565</v>
      </c>
      <c r="D22" s="1119">
        <v>42.3555</v>
      </c>
      <c r="E22" s="1120">
        <f>143.3*1000000</f>
        <v>143300000</v>
      </c>
      <c r="F22" s="1121">
        <v>0.018</v>
      </c>
      <c r="G22" s="1125"/>
      <c r="H22" s="1122">
        <f t="shared" si="6"/>
        <v>849.9480705</v>
      </c>
    </row>
    <row r="23">
      <c r="B23" s="1123" t="s">
        <v>939</v>
      </c>
      <c r="C23" s="1119">
        <v>-97.7431</v>
      </c>
      <c r="D23" s="1119">
        <v>30.2672</v>
      </c>
      <c r="E23" s="1120">
        <f>581.2*1000000</f>
        <v>581200000</v>
      </c>
      <c r="F23" s="1121">
        <v>0.074</v>
      </c>
      <c r="G23" s="1125"/>
      <c r="H23" s="1122">
        <f t="shared" si="6"/>
        <v>3494.230956</v>
      </c>
    </row>
    <row r="24">
      <c r="B24" s="1123" t="s">
        <v>940</v>
      </c>
      <c r="C24" s="1119">
        <v>-87.6324</v>
      </c>
      <c r="D24" s="1119">
        <v>41.8832</v>
      </c>
      <c r="E24" s="1120">
        <f>188.6*1000000</f>
        <v>188600000</v>
      </c>
      <c r="F24" s="1121">
        <v>0.024</v>
      </c>
      <c r="G24" s="1125"/>
      <c r="H24" s="1122">
        <f t="shared" si="6"/>
        <v>1133.264094</v>
      </c>
    </row>
    <row r="25">
      <c r="B25" s="1123" t="s">
        <v>941</v>
      </c>
      <c r="C25" s="1119">
        <v>-104.9903</v>
      </c>
      <c r="D25" s="1119">
        <v>39.7392</v>
      </c>
      <c r="E25" s="1120">
        <f>137*1000000</f>
        <v>137000000</v>
      </c>
      <c r="F25" s="1121">
        <v>0.017</v>
      </c>
      <c r="G25" s="1125"/>
      <c r="H25" s="1122">
        <f t="shared" si="6"/>
        <v>802.7287332</v>
      </c>
    </row>
    <row r="26">
      <c r="B26" s="1123" t="s">
        <v>942</v>
      </c>
      <c r="C26" s="1119">
        <v>-75.1652</v>
      </c>
      <c r="D26" s="1119">
        <v>39.9526</v>
      </c>
      <c r="E26" s="1120">
        <f>246.6*1000000</f>
        <v>246600000</v>
      </c>
      <c r="F26" s="1121">
        <v>0.031</v>
      </c>
      <c r="G26" s="1125"/>
      <c r="H26" s="1122">
        <f t="shared" si="6"/>
        <v>1463.799455</v>
      </c>
    </row>
    <row r="27">
      <c r="B27" s="1126" t="s">
        <v>943</v>
      </c>
      <c r="C27" s="1127">
        <v>-118.2426</v>
      </c>
      <c r="D27" s="1127">
        <v>34.0549</v>
      </c>
      <c r="E27" s="1128">
        <f>740*1000000</f>
        <v>740000000</v>
      </c>
      <c r="F27" s="1129">
        <v>0.094</v>
      </c>
      <c r="G27" s="1130"/>
      <c r="H27" s="1131">
        <f t="shared" si="6"/>
        <v>4438.617701</v>
      </c>
    </row>
    <row r="28">
      <c r="B28" s="1132" t="s">
        <v>944</v>
      </c>
      <c r="C28" s="1133">
        <f t="shared" ref="C28:D28" si="7">SUMPRODUCT(C$18:C$27,$H$18:$H$27)/SUM($H$18:$H$27)</f>
        <v>-101.1289142</v>
      </c>
      <c r="D28" s="1134">
        <f t="shared" si="7"/>
        <v>37.113279</v>
      </c>
      <c r="E28" s="1135"/>
      <c r="F28" s="1136"/>
      <c r="G28" s="1120"/>
      <c r="H28" s="1137"/>
    </row>
    <row r="29">
      <c r="B29" s="1138" t="s">
        <v>945</v>
      </c>
      <c r="C29" s="1139"/>
      <c r="D29" s="1140"/>
      <c r="E29" s="1141"/>
      <c r="F29" s="1142"/>
      <c r="G29" s="1143"/>
      <c r="H29" s="1144"/>
    </row>
    <row r="30">
      <c r="B30" s="1145" t="s">
        <v>946</v>
      </c>
      <c r="C30" s="1146"/>
      <c r="D30" s="1114"/>
      <c r="E30" s="1147"/>
      <c r="F30" s="1148"/>
      <c r="G30" s="1149"/>
      <c r="H30" s="1150"/>
    </row>
    <row r="31">
      <c r="B31" s="1123" t="s">
        <v>947</v>
      </c>
      <c r="C31" s="1151">
        <v>-85.9198</v>
      </c>
      <c r="D31" s="1151">
        <v>39.8943</v>
      </c>
      <c r="E31" s="1120">
        <f>159*1000000</f>
        <v>159000000</v>
      </c>
      <c r="F31" s="1121">
        <v>0.02</v>
      </c>
      <c r="G31" s="1125"/>
      <c r="H31" s="1152">
        <f t="shared" ref="H31:H32" si="8">F31*$G$17</f>
        <v>944.386745</v>
      </c>
    </row>
    <row r="32">
      <c r="B32" s="1126" t="s">
        <v>948</v>
      </c>
      <c r="C32" s="1153">
        <v>-81.264</v>
      </c>
      <c r="D32" s="1153">
        <v>32.136</v>
      </c>
      <c r="E32" s="1128">
        <f>191.9*1000000</f>
        <v>191900000</v>
      </c>
      <c r="F32" s="1129">
        <v>0.024</v>
      </c>
      <c r="G32" s="1130"/>
      <c r="H32" s="1154">
        <f t="shared" si="8"/>
        <v>1133.264094</v>
      </c>
    </row>
    <row r="33">
      <c r="B33" s="1155" t="s">
        <v>949</v>
      </c>
      <c r="C33" s="1156">
        <f t="shared" ref="C33:D33" si="9">SUMPRODUCT(C$31:C$32,$H$31:$H$32)/SUM($H$31:$H$32)</f>
        <v>-83.38027273</v>
      </c>
      <c r="D33" s="1157">
        <f t="shared" si="9"/>
        <v>35.6625</v>
      </c>
      <c r="E33" s="1061"/>
      <c r="F33" s="1158"/>
      <c r="G33" s="1159"/>
      <c r="H33" s="1160"/>
    </row>
    <row r="34">
      <c r="B34" s="1161" t="s">
        <v>950</v>
      </c>
      <c r="C34" s="1162"/>
      <c r="D34" s="1159"/>
      <c r="E34" s="1061"/>
      <c r="F34" s="1158"/>
      <c r="G34" s="1159"/>
      <c r="H34" s="1160"/>
    </row>
    <row r="35">
      <c r="B35" s="1060" t="s">
        <v>951</v>
      </c>
      <c r="C35" s="1163">
        <v>-86.2911</v>
      </c>
      <c r="D35" s="1163">
        <v>36.20811</v>
      </c>
      <c r="E35" s="1164">
        <f>173.2*1000000</f>
        <v>173200000</v>
      </c>
      <c r="F35" s="1165">
        <v>0.022</v>
      </c>
      <c r="G35" s="1159"/>
      <c r="H35" s="1160">
        <f t="shared" ref="H35:H37" si="10">F35*$G$17</f>
        <v>1038.825419</v>
      </c>
    </row>
    <row r="36">
      <c r="B36" s="1060" t="s">
        <v>952</v>
      </c>
      <c r="C36" s="1163">
        <v>-89.5</v>
      </c>
      <c r="D36" s="1163">
        <v>44.5</v>
      </c>
      <c r="E36" s="1164">
        <f>202.3*1000000</f>
        <v>202300000</v>
      </c>
      <c r="F36" s="1165">
        <v>0.026</v>
      </c>
      <c r="G36" s="1159"/>
      <c r="H36" s="1160">
        <f t="shared" si="10"/>
        <v>1227.702768</v>
      </c>
    </row>
    <row r="37">
      <c r="B37" s="1060" t="s">
        <v>953</v>
      </c>
      <c r="C37" s="1163">
        <v>-94.6362</v>
      </c>
      <c r="D37" s="1163">
        <v>46.3924</v>
      </c>
      <c r="E37" s="1164">
        <f>210*1000000</f>
        <v>210000000</v>
      </c>
      <c r="F37" s="1166">
        <v>0.027</v>
      </c>
      <c r="G37" s="1159"/>
      <c r="H37" s="1160">
        <f t="shared" si="10"/>
        <v>1274.922106</v>
      </c>
    </row>
    <row r="38">
      <c r="B38" s="1167" t="s">
        <v>954</v>
      </c>
      <c r="C38" s="1168">
        <f t="shared" ref="C38:D38" si="11">SUMPRODUCT(C$35:C$37,$H$35:$H$37)/SUM($H$35:$H$37)</f>
        <v>-90.40775467</v>
      </c>
      <c r="D38" s="1169">
        <f t="shared" si="11"/>
        <v>42.74897627</v>
      </c>
      <c r="E38" s="1061"/>
      <c r="F38" s="1158"/>
      <c r="G38" s="1159"/>
      <c r="H38" s="1160"/>
    </row>
    <row r="39">
      <c r="B39" s="733" t="s">
        <v>299</v>
      </c>
      <c r="C39" s="1162"/>
      <c r="D39" s="1159"/>
      <c r="E39" s="1061"/>
      <c r="F39" s="1158"/>
      <c r="G39" s="1159"/>
      <c r="H39" s="1160"/>
    </row>
    <row r="40">
      <c r="B40" s="1123" t="s">
        <v>955</v>
      </c>
      <c r="C40" s="1170">
        <v>-73.9966</v>
      </c>
      <c r="D40" s="1170">
        <v>40.7449</v>
      </c>
      <c r="E40" s="1171">
        <f>317.1*1000000</f>
        <v>317100000</v>
      </c>
      <c r="F40" s="1172">
        <v>0.04</v>
      </c>
      <c r="G40" s="1114"/>
      <c r="H40" s="1173">
        <f t="shared" ref="H40:H44" si="12">F40*$G$17</f>
        <v>1888.77349</v>
      </c>
    </row>
    <row r="41">
      <c r="B41" s="1123" t="s">
        <v>956</v>
      </c>
      <c r="C41" s="1151">
        <v>-122.119081</v>
      </c>
      <c r="D41" s="1151">
        <v>37.586548</v>
      </c>
      <c r="E41" s="1120">
        <f>740*1000000</f>
        <v>740000000</v>
      </c>
      <c r="F41" s="1121">
        <v>0.094</v>
      </c>
      <c r="G41" s="1125"/>
      <c r="H41" s="1152">
        <f t="shared" si="12"/>
        <v>4438.617701</v>
      </c>
    </row>
    <row r="42">
      <c r="B42" s="1123" t="s">
        <v>957</v>
      </c>
      <c r="C42" s="1151">
        <v>-87.6544</v>
      </c>
      <c r="D42" s="1151">
        <v>41.9323</v>
      </c>
      <c r="E42" s="1120">
        <f>188.6*1000000</f>
        <v>188600000</v>
      </c>
      <c r="F42" s="1121">
        <v>0.024</v>
      </c>
      <c r="G42" s="1125"/>
      <c r="H42" s="1152">
        <f t="shared" si="12"/>
        <v>1133.264094</v>
      </c>
    </row>
    <row r="43">
      <c r="B43" s="1123" t="s">
        <v>958</v>
      </c>
      <c r="C43" s="1151">
        <v>-71.0995</v>
      </c>
      <c r="D43" s="1151">
        <v>42.3876</v>
      </c>
      <c r="E43" s="1120">
        <f>143.3*1000000</f>
        <v>143300000</v>
      </c>
      <c r="F43" s="1121">
        <v>0.018</v>
      </c>
      <c r="G43" s="1125"/>
      <c r="H43" s="1152">
        <f t="shared" si="12"/>
        <v>849.9480705</v>
      </c>
    </row>
    <row r="44">
      <c r="B44" s="1123" t="s">
        <v>959</v>
      </c>
      <c r="C44" s="1153">
        <v>-122.3023</v>
      </c>
      <c r="D44" s="1153">
        <v>47.6393</v>
      </c>
      <c r="E44" s="1128">
        <f>260.7*1000000</f>
        <v>260700000</v>
      </c>
      <c r="F44" s="1129">
        <v>0.033</v>
      </c>
      <c r="G44" s="1130"/>
      <c r="H44" s="1154">
        <f t="shared" si="12"/>
        <v>1558.238129</v>
      </c>
    </row>
    <row r="45">
      <c r="B45" s="1167" t="s">
        <v>960</v>
      </c>
      <c r="C45" s="1174">
        <f t="shared" ref="C45:D45" si="13">SUMPRODUCT(C$40:C$44,$H$40:$H$44)/SUM($H$40:$H$44)</f>
        <v>-104.5862685</v>
      </c>
      <c r="D45" s="1175">
        <f t="shared" si="13"/>
        <v>40.69081537</v>
      </c>
      <c r="E45" s="1061"/>
      <c r="F45" s="1158"/>
      <c r="G45" s="1159"/>
      <c r="H45" s="1160"/>
    </row>
    <row r="46">
      <c r="B46" s="1161" t="s">
        <v>295</v>
      </c>
      <c r="C46" s="1163"/>
      <c r="D46" s="1163"/>
      <c r="E46" s="1164"/>
      <c r="F46" s="1165"/>
      <c r="G46" s="1159"/>
      <c r="H46" s="1160"/>
    </row>
    <row r="47">
      <c r="B47" s="1176" t="s">
        <v>961</v>
      </c>
      <c r="C47" s="1177">
        <v>-117.6509</v>
      </c>
      <c r="D47" s="1177">
        <v>34.0633</v>
      </c>
      <c r="E47" s="1178">
        <f>740*1000000</f>
        <v>740000000</v>
      </c>
      <c r="F47" s="1179">
        <v>0.094</v>
      </c>
      <c r="G47" s="1180"/>
      <c r="H47" s="1181">
        <f>F47*$G$17</f>
        <v>4438.617701</v>
      </c>
    </row>
    <row r="48">
      <c r="B48" s="1167" t="s">
        <v>962</v>
      </c>
      <c r="C48" s="1156">
        <f t="shared" ref="C48:D48" si="14">(C47*$H$47)/$H$47</f>
        <v>-117.6509</v>
      </c>
      <c r="D48" s="1157">
        <f t="shared" si="14"/>
        <v>34.0633</v>
      </c>
      <c r="E48" s="1159"/>
      <c r="F48" s="1159"/>
      <c r="G48" s="1159"/>
      <c r="H48" s="1182">
        <f>H47</f>
        <v>4438.617701</v>
      </c>
    </row>
    <row r="49">
      <c r="B49" s="1132" t="s">
        <v>963</v>
      </c>
      <c r="C49" s="1183">
        <f t="shared" ref="C49:D49" si="15">(C33*0.74)+(C38*0.095)+(C45*0.045)+(C48*0.12)</f>
        <v>-89.11462859</v>
      </c>
      <c r="D49" s="1184">
        <f t="shared" si="15"/>
        <v>36.37008544</v>
      </c>
      <c r="E49" s="1185"/>
      <c r="F49" s="1159"/>
      <c r="G49" s="1159"/>
      <c r="H49" s="1186"/>
    </row>
    <row r="50">
      <c r="B50" s="1187" t="s">
        <v>964</v>
      </c>
      <c r="C50" s="1188"/>
      <c r="D50" s="1188"/>
      <c r="E50" s="1159"/>
      <c r="F50" s="1159"/>
      <c r="G50" s="1159"/>
      <c r="H50" s="1189"/>
    </row>
    <row r="51">
      <c r="B51" s="1060" t="s">
        <v>965</v>
      </c>
      <c r="C51" s="1190">
        <v>-81.51858</v>
      </c>
      <c r="D51" s="1190">
        <v>27.6648</v>
      </c>
      <c r="E51" s="1164">
        <f>910.8*1000000</f>
        <v>910800000</v>
      </c>
      <c r="F51" s="1165">
        <v>0.116</v>
      </c>
      <c r="G51" s="1191"/>
      <c r="H51" s="1160">
        <f t="shared" ref="H51:H55" si="16">(F51*$G$17)</f>
        <v>5477.443121</v>
      </c>
    </row>
    <row r="52">
      <c r="B52" s="1060" t="s">
        <v>966</v>
      </c>
      <c r="C52" s="1190">
        <v>-119.4179</v>
      </c>
      <c r="D52" s="1190">
        <v>36.7783</v>
      </c>
      <c r="E52" s="1164">
        <f>740*1000000</f>
        <v>740000000</v>
      </c>
      <c r="F52" s="1165">
        <v>0.094</v>
      </c>
      <c r="G52" s="1159"/>
      <c r="H52" s="1160">
        <f t="shared" si="16"/>
        <v>4438.617701</v>
      </c>
    </row>
    <row r="53">
      <c r="B53" s="1060" t="s">
        <v>967</v>
      </c>
      <c r="C53" s="1190">
        <v>-99.9018</v>
      </c>
      <c r="D53" s="1190">
        <v>31.9686</v>
      </c>
      <c r="E53" s="1164">
        <f>581.2*1000000</f>
        <v>581200000</v>
      </c>
      <c r="F53" s="1165">
        <v>0.074</v>
      </c>
      <c r="G53" s="1159"/>
      <c r="H53" s="1160">
        <f t="shared" si="16"/>
        <v>3494.230956</v>
      </c>
    </row>
    <row r="54">
      <c r="B54" s="1060" t="s">
        <v>968</v>
      </c>
      <c r="C54" s="1190">
        <v>-82.9071</v>
      </c>
      <c r="D54" s="1192">
        <v>40.4173</v>
      </c>
      <c r="E54" s="1164">
        <f>335.1*1000000</f>
        <v>335100000</v>
      </c>
      <c r="F54" s="1165">
        <v>0.043</v>
      </c>
      <c r="G54" s="1159"/>
      <c r="H54" s="1160">
        <f t="shared" si="16"/>
        <v>2030.431502</v>
      </c>
    </row>
    <row r="55">
      <c r="B55" s="1176" t="s">
        <v>969</v>
      </c>
      <c r="C55" s="1193">
        <v>-74.006</v>
      </c>
      <c r="D55" s="1193">
        <v>40.7128</v>
      </c>
      <c r="E55" s="1164">
        <f>317.1*1000000</f>
        <v>317100000</v>
      </c>
      <c r="F55" s="1165">
        <v>0.04</v>
      </c>
      <c r="G55" s="1159"/>
      <c r="H55" s="1160">
        <f t="shared" si="16"/>
        <v>1888.77349</v>
      </c>
    </row>
    <row r="56">
      <c r="B56" s="1132" t="s">
        <v>970</v>
      </c>
      <c r="C56" s="1183">
        <f t="shared" ref="C56:D56" si="17">SUMPRODUCT(C$51:C$55,$H$51:$H$55)/SUM($H$51:$H$55)</f>
        <v>-94.27633891</v>
      </c>
      <c r="D56" s="1184">
        <f t="shared" si="17"/>
        <v>33.78313161</v>
      </c>
      <c r="E56" s="1194"/>
      <c r="F56" s="1180"/>
      <c r="G56" s="1195"/>
      <c r="H56" s="1196"/>
    </row>
    <row r="57">
      <c r="B57" s="257"/>
      <c r="C57" s="257"/>
      <c r="D57" s="257"/>
      <c r="E57" s="1197" t="s">
        <v>971</v>
      </c>
      <c r="F57" s="1198" t="s">
        <v>972</v>
      </c>
      <c r="G57" s="257"/>
    </row>
    <row r="58">
      <c r="B58" s="1199" t="s">
        <v>973</v>
      </c>
      <c r="C58" s="1200">
        <f>SUM($C$28,$C$49,$C$56)/3</f>
        <v>-94.83996055</v>
      </c>
      <c r="D58" s="1200">
        <f>SUM(D28,D49,D56)/3</f>
        <v>35.75549868</v>
      </c>
      <c r="E58" s="1201" t="s">
        <v>974</v>
      </c>
      <c r="F58" s="1202" t="s">
        <v>975</v>
      </c>
      <c r="G58" s="257"/>
    </row>
    <row r="59">
      <c r="B59" s="257"/>
      <c r="C59" s="257"/>
      <c r="D59" s="257"/>
      <c r="E59" s="257"/>
      <c r="F59" s="257"/>
      <c r="G59" s="257"/>
    </row>
    <row r="60">
      <c r="B60" s="624" t="s">
        <v>976</v>
      </c>
      <c r="C60" s="2"/>
      <c r="D60" s="2"/>
      <c r="E60" s="2"/>
      <c r="F60" s="2"/>
      <c r="G60" s="2"/>
      <c r="H60" s="3"/>
    </row>
    <row r="61">
      <c r="B61" s="257"/>
      <c r="C61" s="257"/>
      <c r="D61" s="257"/>
      <c r="E61" s="257"/>
      <c r="F61" s="257"/>
      <c r="G61" s="257"/>
    </row>
    <row r="62">
      <c r="B62" s="199" t="s">
        <v>977</v>
      </c>
      <c r="C62" s="397"/>
      <c r="D62" s="257"/>
      <c r="E62" s="257"/>
      <c r="F62" s="257"/>
      <c r="G62" s="257"/>
    </row>
    <row r="63">
      <c r="B63" s="326" t="s">
        <v>768</v>
      </c>
      <c r="C63" s="475" t="s">
        <v>32</v>
      </c>
      <c r="D63" s="475" t="s">
        <v>33</v>
      </c>
      <c r="E63" s="475" t="s">
        <v>34</v>
      </c>
      <c r="F63" s="475" t="s">
        <v>35</v>
      </c>
      <c r="G63" s="476" t="s">
        <v>36</v>
      </c>
    </row>
    <row r="64">
      <c r="B64" s="1203" t="s">
        <v>978</v>
      </c>
      <c r="C64" s="1204">
        <f>H77</f>
        <v>7254.913887</v>
      </c>
      <c r="D64" s="1204">
        <f>H85</f>
        <v>15413.41281</v>
      </c>
      <c r="E64" s="1204">
        <f>H93</f>
        <v>22117.31244</v>
      </c>
      <c r="F64" s="1204">
        <f>H101</f>
        <v>31571.43599</v>
      </c>
      <c r="G64" s="1205">
        <f>H109</f>
        <v>46900.59035</v>
      </c>
    </row>
    <row r="65">
      <c r="B65" s="1206" t="s">
        <v>132</v>
      </c>
      <c r="C65" s="1207">
        <f>C64/'MK Sales Projections'!C14</f>
        <v>0.1536428571</v>
      </c>
      <c r="D65" s="1207">
        <f>D64/'MK Sales Projections'!D14</f>
        <v>0.18981</v>
      </c>
      <c r="E65" s="1207">
        <f>E64/'MK Sales Projections'!E14</f>
        <v>0.2091204</v>
      </c>
      <c r="F65" s="1207">
        <f>F64/'MK Sales Projections'!F14</f>
        <v>0.197974248</v>
      </c>
      <c r="G65" s="1208">
        <f>G64/'MK Sales Projections'!G14</f>
        <v>0.196461437</v>
      </c>
    </row>
    <row r="66">
      <c r="B66" s="1209" t="s">
        <v>979</v>
      </c>
      <c r="C66" s="1210">
        <f>C67*'MK Sales Projections'!C14</f>
        <v>31589.73662</v>
      </c>
      <c r="D66" s="1210">
        <f>D67*'MK Sales Projections'!D14</f>
        <v>54325.76351</v>
      </c>
      <c r="E66" s="1210">
        <f>E67*'MK Sales Projections'!E14</f>
        <v>70755.80396</v>
      </c>
      <c r="F66" s="1210">
        <f>F67*'MK Sales Projections'!F14</f>
        <v>106687.061</v>
      </c>
      <c r="G66" s="1211">
        <f>G67*'MK Sales Projections'!G14</f>
        <v>159708.1617</v>
      </c>
    </row>
    <row r="67">
      <c r="B67" s="1206" t="s">
        <v>132</v>
      </c>
      <c r="C67" s="1212">
        <f>'FE Income Statement'!C15</f>
        <v>0.669</v>
      </c>
      <c r="D67" s="1212">
        <f>'FE Income Statement'!D15</f>
        <v>0.669</v>
      </c>
      <c r="E67" s="1212">
        <f>'FE Income Statement'!E15</f>
        <v>0.669</v>
      </c>
      <c r="F67" s="1212">
        <f>'FE Income Statement'!F15</f>
        <v>0.669</v>
      </c>
      <c r="G67" s="1213">
        <f>'FE Income Statement'!G15</f>
        <v>0.669</v>
      </c>
    </row>
    <row r="68">
      <c r="B68" s="1209" t="s">
        <v>980</v>
      </c>
      <c r="C68" s="1210">
        <f t="shared" ref="C68:G68" si="18">C64+C66</f>
        <v>38844.65051</v>
      </c>
      <c r="D68" s="1210">
        <f t="shared" si="18"/>
        <v>69739.17632</v>
      </c>
      <c r="E68" s="1210">
        <f t="shared" si="18"/>
        <v>92873.1164</v>
      </c>
      <c r="F68" s="1210">
        <f t="shared" si="18"/>
        <v>138258.497</v>
      </c>
      <c r="G68" s="1211">
        <f t="shared" si="18"/>
        <v>206608.752</v>
      </c>
    </row>
    <row r="69">
      <c r="B69" s="1214" t="s">
        <v>132</v>
      </c>
      <c r="C69" s="1215">
        <f>C68/'MK Sales Projections'!C14</f>
        <v>0.8226428571</v>
      </c>
      <c r="D69" s="1215">
        <f>D68/'MK Sales Projections'!D14</f>
        <v>0.85881</v>
      </c>
      <c r="E69" s="1215">
        <f>E68/'MK Sales Projections'!E14</f>
        <v>0.8781204</v>
      </c>
      <c r="F69" s="1215">
        <f>F68/'MK Sales Projections'!F14</f>
        <v>0.866974248</v>
      </c>
      <c r="G69" s="1216">
        <f>G68/'MK Sales Projections'!G14</f>
        <v>0.865461437</v>
      </c>
    </row>
    <row r="71">
      <c r="B71" s="1217" t="s">
        <v>981</v>
      </c>
      <c r="C71" s="276"/>
      <c r="D71" s="1218"/>
      <c r="E71" s="1218"/>
      <c r="F71" s="1218"/>
      <c r="G71" s="1218"/>
      <c r="H71" s="1218"/>
    </row>
    <row r="72">
      <c r="B72" s="1132" t="s">
        <v>982</v>
      </c>
      <c r="C72" s="1219" t="s">
        <v>983</v>
      </c>
      <c r="D72" s="1219" t="s">
        <v>984</v>
      </c>
      <c r="E72" s="1219" t="s">
        <v>985</v>
      </c>
      <c r="F72" s="1219" t="s">
        <v>986</v>
      </c>
      <c r="G72" s="1219" t="s">
        <v>987</v>
      </c>
      <c r="H72" s="1220" t="s">
        <v>988</v>
      </c>
    </row>
    <row r="73">
      <c r="B73" s="1221" t="s">
        <v>989</v>
      </c>
      <c r="C73" s="1222">
        <f>'MK ACV Distribution'!C7</f>
        <v>0.8571428571</v>
      </c>
      <c r="D73" s="1223">
        <f>C73*'MK Sales Projections'!$C$14</f>
        <v>40473.71764</v>
      </c>
      <c r="E73" s="1224" t="s">
        <v>990</v>
      </c>
      <c r="F73" s="1223">
        <f>IF(E73="YES",D73/'OM Assumptions'!$C$32, "-")</f>
        <v>20.23685882</v>
      </c>
      <c r="G73" s="1224">
        <f>'OM Assumptions'!$F$31</f>
        <v>246</v>
      </c>
      <c r="H73" s="1225">
        <f>IF(E73="YES",F73*G73,(D73/'OM Assumptions'!$F$27)*'OM Assumptions'!$F$30)</f>
        <v>4978.26727</v>
      </c>
    </row>
    <row r="74">
      <c r="B74" s="1226" t="s">
        <v>991</v>
      </c>
      <c r="C74" s="1227">
        <f>'MK ACV Distribution'!D7</f>
        <v>0.1428571429</v>
      </c>
      <c r="D74" s="1228">
        <f>C74*'MK Sales Projections'!$C$14</f>
        <v>6745.619607</v>
      </c>
      <c r="E74" s="1229" t="s">
        <v>992</v>
      </c>
      <c r="F74" s="1230" t="str">
        <f>IF(E74="YES",D74/'OM Assumptions'!$C$32, "-")</f>
        <v>-</v>
      </c>
      <c r="G74" s="1231" t="s">
        <v>603</v>
      </c>
      <c r="H74" s="1232">
        <f>IF(E74="YES",F74*G74,(D74/'OM Assumptions'!$F$27)*'OM Assumptions'!$F$30)</f>
        <v>2276.646617</v>
      </c>
    </row>
    <row r="75">
      <c r="B75" s="1226" t="s">
        <v>993</v>
      </c>
      <c r="C75" s="1227" t="str">
        <f>'MK ACV Distribution'!E7</f>
        <v/>
      </c>
      <c r="D75" s="1228">
        <f>C75*'MK Sales Projections'!$C$14</f>
        <v>0</v>
      </c>
      <c r="E75" s="1229" t="s">
        <v>990</v>
      </c>
      <c r="F75" s="1230">
        <f>IF(E75="YES",D75/'OM Assumptions'!$C$32, "-")</f>
        <v>0</v>
      </c>
      <c r="G75" s="1229">
        <f>G73</f>
        <v>246</v>
      </c>
      <c r="H75" s="1232">
        <f>IF(E75="YES",F75*G75,(D75/'OM Assumptions'!$F$27)*'OM Assumptions'!$F$30)</f>
        <v>0</v>
      </c>
    </row>
    <row r="76">
      <c r="B76" s="1226" t="s">
        <v>994</v>
      </c>
      <c r="C76" s="1227" t="str">
        <f>'MK ACV Distribution'!F7</f>
        <v/>
      </c>
      <c r="D76" s="1228">
        <f>C76*'MK Sales Projections'!$C$14</f>
        <v>0</v>
      </c>
      <c r="E76" s="1233" t="s">
        <v>990</v>
      </c>
      <c r="F76" s="1230">
        <f>IF(E76="YES",D76/'OM Assumptions'!$C$32, "-")</f>
        <v>0</v>
      </c>
      <c r="G76" s="1234">
        <f>G73</f>
        <v>246</v>
      </c>
      <c r="H76" s="1232">
        <f>IF(E76="YES",F76*G76,(D76/'OM Assumptions'!$F$27)*'OM Assumptions'!$F$30)</f>
        <v>0</v>
      </c>
    </row>
    <row r="77">
      <c r="B77" s="1235"/>
      <c r="C77" s="1236"/>
      <c r="D77" s="1236"/>
      <c r="E77" s="1236"/>
      <c r="F77" s="1237"/>
      <c r="G77" s="1238" t="s">
        <v>681</v>
      </c>
      <c r="H77" s="1239">
        <f>SUM(H73:H76)</f>
        <v>7254.913887</v>
      </c>
    </row>
    <row r="78">
      <c r="B78" s="364"/>
      <c r="C78" s="364"/>
      <c r="D78" s="364"/>
      <c r="E78" s="364"/>
      <c r="F78" s="364"/>
      <c r="G78" s="364"/>
      <c r="H78" s="364"/>
    </row>
    <row r="79">
      <c r="B79" s="981" t="s">
        <v>995</v>
      </c>
      <c r="C79" s="397"/>
      <c r="D79" s="364"/>
      <c r="E79" s="364"/>
      <c r="F79" s="364"/>
      <c r="G79" s="364"/>
      <c r="H79" s="364"/>
    </row>
    <row r="80">
      <c r="B80" s="1132" t="s">
        <v>982</v>
      </c>
      <c r="C80" s="1219" t="s">
        <v>983</v>
      </c>
      <c r="D80" s="1219" t="s">
        <v>984</v>
      </c>
      <c r="E80" s="1219" t="s">
        <v>985</v>
      </c>
      <c r="F80" s="1219" t="s">
        <v>986</v>
      </c>
      <c r="G80" s="1219" t="s">
        <v>987</v>
      </c>
      <c r="H80" s="1220" t="s">
        <v>988</v>
      </c>
    </row>
    <row r="81">
      <c r="B81" s="1240" t="s">
        <v>989</v>
      </c>
      <c r="C81" s="1241">
        <f>'MK ACV Distribution'!C14</f>
        <v>0.7058823529</v>
      </c>
      <c r="D81" s="1230">
        <f>C81*'MK Sales Projections'!$D$14</f>
        <v>57320.77394</v>
      </c>
      <c r="E81" s="1242" t="s">
        <v>990</v>
      </c>
      <c r="F81" s="1230">
        <f>IF(E81="YES",D81/'OM Assumptions'!$C$32, "-")</f>
        <v>28.66038697</v>
      </c>
      <c r="G81" s="1242">
        <f>'OM Assumptions'!$F$31*(1+'OM Assumptions'!$F$32)</f>
        <v>250.92</v>
      </c>
      <c r="H81" s="1232">
        <f>IF(E81="YES",F81*G81,(D81/'OM Assumptions'!$F$27)*'OM Assumptions'!$F$30*(1+'OM Assumptions'!$F$32))</f>
        <v>7191.464299</v>
      </c>
    </row>
    <row r="82">
      <c r="B82" s="1226" t="s">
        <v>991</v>
      </c>
      <c r="C82" s="1227">
        <f>'MK ACV Distribution'!D14</f>
        <v>0.2941176471</v>
      </c>
      <c r="D82" s="1230">
        <f>C82*'MK Sales Projections'!$D$14</f>
        <v>23883.65581</v>
      </c>
      <c r="E82" s="1229" t="s">
        <v>992</v>
      </c>
      <c r="F82" s="1230" t="str">
        <f>IF(E82="YES",D82/'OM Assumptions'!$C$32, "-")</f>
        <v>-</v>
      </c>
      <c r="G82" s="1231" t="s">
        <v>603</v>
      </c>
      <c r="H82" s="1232">
        <f>IF(E82="YES",F82*G82,(D82/'OM Assumptions'!$F$27)*'OM Assumptions'!$F$30*(1+'OM Assumptions'!$F$32))</f>
        <v>8221.948513</v>
      </c>
    </row>
    <row r="83">
      <c r="B83" s="1226" t="s">
        <v>993</v>
      </c>
      <c r="C83" s="1227"/>
      <c r="D83" s="1243"/>
      <c r="E83" s="1229" t="s">
        <v>990</v>
      </c>
      <c r="F83" s="1230">
        <f>IF(E83="YES",D83/'OM Assumptions'!$C$32, "-")</f>
        <v>0</v>
      </c>
      <c r="G83" s="1229">
        <f>G81</f>
        <v>250.92</v>
      </c>
      <c r="H83" s="1232">
        <f>IF(E83="YES",F83*G83,(D83/'OM Assumptions'!$F$27)*'OM Assumptions'!$F$30*(1+'OM Assumptions'!$F$32))</f>
        <v>0</v>
      </c>
    </row>
    <row r="84">
      <c r="B84" s="1226" t="s">
        <v>994</v>
      </c>
      <c r="C84" s="1244"/>
      <c r="D84" s="1245"/>
      <c r="E84" s="1233" t="s">
        <v>990</v>
      </c>
      <c r="F84" s="1230">
        <f>IF(E84="YES",D84/'OM Assumptions'!$C$32, "-")</f>
        <v>0</v>
      </c>
      <c r="G84" s="1234">
        <f>G81</f>
        <v>250.92</v>
      </c>
      <c r="H84" s="1232">
        <f>IF(E84="YES",F84*G84,(D84/'OM Assumptions'!$F$27)*'OM Assumptions'!$F$30*(1+'OM Assumptions'!$F$32))</f>
        <v>0</v>
      </c>
    </row>
    <row r="85">
      <c r="B85" s="1235"/>
      <c r="C85" s="1236"/>
      <c r="D85" s="1236"/>
      <c r="E85" s="1236"/>
      <c r="F85" s="1237"/>
      <c r="G85" s="1238" t="s">
        <v>681</v>
      </c>
      <c r="H85" s="1239">
        <f>SUM(H81:H84)</f>
        <v>15413.41281</v>
      </c>
    </row>
    <row r="86">
      <c r="B86" s="364"/>
      <c r="C86" s="364"/>
      <c r="D86" s="364"/>
      <c r="E86" s="364"/>
      <c r="F86" s="364"/>
      <c r="G86" s="364"/>
      <c r="H86" s="364"/>
    </row>
    <row r="87">
      <c r="B87" s="981" t="s">
        <v>996</v>
      </c>
      <c r="C87" s="397"/>
      <c r="D87" s="364"/>
      <c r="E87" s="364"/>
      <c r="F87" s="364"/>
      <c r="G87" s="364"/>
      <c r="H87" s="364"/>
    </row>
    <row r="88">
      <c r="B88" s="1132" t="s">
        <v>982</v>
      </c>
      <c r="C88" s="1219" t="s">
        <v>983</v>
      </c>
      <c r="D88" s="1219" t="s">
        <v>984</v>
      </c>
      <c r="E88" s="1219" t="s">
        <v>985</v>
      </c>
      <c r="F88" s="1219" t="s">
        <v>986</v>
      </c>
      <c r="G88" s="1219" t="s">
        <v>987</v>
      </c>
      <c r="H88" s="1220" t="s">
        <v>988</v>
      </c>
    </row>
    <row r="89">
      <c r="B89" s="1240" t="s">
        <v>989</v>
      </c>
      <c r="C89" s="1241">
        <f>'MK ACV Distribution'!C21</f>
        <v>0.5454545455</v>
      </c>
      <c r="D89" s="1230">
        <f>C89*'MK Sales Projections'!$E$14</f>
        <v>57689.20013</v>
      </c>
      <c r="E89" s="1242" t="s">
        <v>990</v>
      </c>
      <c r="F89" s="1230">
        <f>IF(E89="YES",D89/'OM Assumptions'!$C$32, "-")</f>
        <v>28.84460006</v>
      </c>
      <c r="G89" s="1242">
        <f>'OM Assumptions'!$F$31*((1+'OM Assumptions'!$F$32)^2)</f>
        <v>255.9384</v>
      </c>
      <c r="H89" s="1232">
        <f>IF(E89="YES",F89*G89,(D89/'OM Assumptions'!$F$27)*'OM Assumptions'!$F$30*((1+'OM Assumptions'!$F$32)^2))</f>
        <v>7382.440789</v>
      </c>
    </row>
    <row r="90">
      <c r="B90" s="1226" t="s">
        <v>991</v>
      </c>
      <c r="C90" s="1227">
        <f>'MK ACV Distribution'!D21</f>
        <v>0.3636363636</v>
      </c>
      <c r="D90" s="1230">
        <f>C90*'MK Sales Projections'!$E$14</f>
        <v>38459.46675</v>
      </c>
      <c r="E90" s="1229" t="s">
        <v>992</v>
      </c>
      <c r="F90" s="1230" t="str">
        <f>IF(E90="YES",D90/'OM Assumptions'!$C$32, "-")</f>
        <v>-</v>
      </c>
      <c r="G90" s="1231" t="s">
        <v>603</v>
      </c>
      <c r="H90" s="1232">
        <f>IF(E90="YES",F90*G90,(D90/'OM Assumptions'!$F$27)*'OM Assumptions'!$F$30*((1+'OM Assumptions'!$F$32)^2))</f>
        <v>13504.46486</v>
      </c>
    </row>
    <row r="91">
      <c r="B91" s="1226" t="s">
        <v>993</v>
      </c>
      <c r="C91" s="1227">
        <f>'MK ACV Distribution'!E21</f>
        <v>0.09090909091</v>
      </c>
      <c r="D91" s="1230">
        <f>C91*'MK Sales Projections'!$E$14</f>
        <v>9614.866688</v>
      </c>
      <c r="E91" s="1229" t="s">
        <v>990</v>
      </c>
      <c r="F91" s="1230">
        <f>IF(E91="YES",D91/'OM Assumptions'!$C$32, "-")</f>
        <v>4.807433344</v>
      </c>
      <c r="G91" s="1229">
        <f>G89</f>
        <v>255.9384</v>
      </c>
      <c r="H91" s="1232">
        <f>IF(E91="YES",F91*G91,(D91/'OM Assumptions'!$F$27)*'OM Assumptions'!$F$30*((1+'OM Assumptions'!$F$32)^2))</f>
        <v>1230.406798</v>
      </c>
    </row>
    <row r="92">
      <c r="B92" s="1226" t="s">
        <v>994</v>
      </c>
      <c r="C92" s="1246"/>
      <c r="D92" s="1247"/>
      <c r="E92" s="1233" t="s">
        <v>990</v>
      </c>
      <c r="F92" s="1230">
        <f>IF(E92="YES",D92/'OM Assumptions'!$C$32, "-")</f>
        <v>0</v>
      </c>
      <c r="G92" s="1234">
        <f>G89</f>
        <v>255.9384</v>
      </c>
      <c r="H92" s="1232">
        <f>IF(E92="YES",F92*G92,(D92/'OM Assumptions'!$F$27)*'OM Assumptions'!$F$30*((1+'OM Assumptions'!$F$32)^2))</f>
        <v>0</v>
      </c>
    </row>
    <row r="93">
      <c r="B93" s="1235"/>
      <c r="C93" s="1236"/>
      <c r="D93" s="1236"/>
      <c r="E93" s="1236"/>
      <c r="F93" s="1237"/>
      <c r="G93" s="1238" t="s">
        <v>681</v>
      </c>
      <c r="H93" s="1239">
        <f>SUM(H89:H92)</f>
        <v>22117.31244</v>
      </c>
    </row>
    <row r="94">
      <c r="B94" s="364"/>
      <c r="C94" s="364"/>
      <c r="D94" s="364"/>
      <c r="E94" s="364"/>
      <c r="F94" s="364"/>
      <c r="G94" s="364"/>
      <c r="H94" s="364"/>
    </row>
    <row r="95">
      <c r="B95" s="981" t="s">
        <v>997</v>
      </c>
      <c r="C95" s="397"/>
      <c r="D95" s="364"/>
      <c r="E95" s="364"/>
      <c r="F95" s="364"/>
      <c r="G95" s="364"/>
      <c r="H95" s="364"/>
    </row>
    <row r="96">
      <c r="B96" s="1132" t="s">
        <v>982</v>
      </c>
      <c r="C96" s="1219" t="s">
        <v>983</v>
      </c>
      <c r="D96" s="1219" t="s">
        <v>984</v>
      </c>
      <c r="E96" s="1219" t="s">
        <v>985</v>
      </c>
      <c r="F96" s="1219" t="s">
        <v>986</v>
      </c>
      <c r="G96" s="1219" t="s">
        <v>987</v>
      </c>
      <c r="H96" s="1220" t="s">
        <v>988</v>
      </c>
    </row>
    <row r="97">
      <c r="B97" s="1240" t="s">
        <v>989</v>
      </c>
      <c r="C97" s="1241">
        <f>'MK ACV Distribution'!C28</f>
        <v>0.4444444444</v>
      </c>
      <c r="D97" s="1230">
        <f>C97*'MK Sales Projections'!$F$14</f>
        <v>70876.63911</v>
      </c>
      <c r="E97" s="1242" t="s">
        <v>990</v>
      </c>
      <c r="F97" s="1230">
        <f>IF(E97="YES",D97/'OM Assumptions'!$C$32, "-")</f>
        <v>35.43831956</v>
      </c>
      <c r="G97" s="1242">
        <f>'OM Assumptions'!$F$31*((1+'OM Assumptions'!$F$32)^3)</f>
        <v>261.057168</v>
      </c>
      <c r="H97" s="1232">
        <f>IF(E97="YES",F97*G97,(D97/'OM Assumptions'!$F$27)*'OM Assumptions'!$F$30*((1+'OM Assumptions'!$F$32)^3))</f>
        <v>9251.427342</v>
      </c>
    </row>
    <row r="98">
      <c r="B98" s="1226" t="s">
        <v>991</v>
      </c>
      <c r="C98" s="1227">
        <f>'MK ACV Distribution'!D28</f>
        <v>0.2962962963</v>
      </c>
      <c r="D98" s="1230">
        <f>C98*'MK Sales Projections'!$F$14</f>
        <v>47251.09274</v>
      </c>
      <c r="E98" s="1229" t="s">
        <v>992</v>
      </c>
      <c r="F98" s="1230" t="str">
        <f>IF(E98="YES",D98/'OM Assumptions'!$C$32, "-")</f>
        <v>-</v>
      </c>
      <c r="G98" s="1231" t="s">
        <v>603</v>
      </c>
      <c r="H98" s="1232">
        <f>IF(E98="YES",F98*G98,(D98/'OM Assumptions'!$F$27)*'OM Assumptions'!$F$30*((1+'OM Assumptions'!$F$32)^3))</f>
        <v>16923.3427</v>
      </c>
    </row>
    <row r="99">
      <c r="B99" s="1226" t="s">
        <v>993</v>
      </c>
      <c r="C99" s="1227">
        <f>'MK ACV Distribution'!E28</f>
        <v>0.1481481481</v>
      </c>
      <c r="D99" s="1230">
        <f>C99*'MK Sales Projections'!$F$14</f>
        <v>23625.54637</v>
      </c>
      <c r="E99" s="1229" t="s">
        <v>990</v>
      </c>
      <c r="F99" s="1230">
        <f>IF(E99="YES",D99/'OM Assumptions'!$C$32, "-")</f>
        <v>11.81277319</v>
      </c>
      <c r="G99" s="1229">
        <f>G97</f>
        <v>261.057168</v>
      </c>
      <c r="H99" s="1232">
        <f>IF(E99="YES",F99*G99,(D99/'OM Assumptions'!$F$27)*'OM Assumptions'!$F$30*((1+'OM Assumptions'!$F$32)^3))</f>
        <v>3083.809114</v>
      </c>
    </row>
    <row r="100">
      <c r="B100" s="1226" t="s">
        <v>994</v>
      </c>
      <c r="C100" s="1244">
        <f>'MK ACV Distribution'!F28</f>
        <v>0.1111111111</v>
      </c>
      <c r="D100" s="1230">
        <f>C100*'MK Sales Projections'!$F$14</f>
        <v>17719.15978</v>
      </c>
      <c r="E100" s="1233" t="s">
        <v>990</v>
      </c>
      <c r="F100" s="1230">
        <f>IF(E100="YES",D100/'OM Assumptions'!$C$32, "-")</f>
        <v>8.859579889</v>
      </c>
      <c r="G100" s="1234">
        <f>G97</f>
        <v>261.057168</v>
      </c>
      <c r="H100" s="1232">
        <f>IF(E100="YES",F100*G100,(D100/'OM Assumptions'!$F$27)*'OM Assumptions'!$F$30*((1+'OM Assumptions'!$F$32)^3))</f>
        <v>2312.856836</v>
      </c>
    </row>
    <row r="101">
      <c r="B101" s="1235"/>
      <c r="C101" s="1236"/>
      <c r="D101" s="1236"/>
      <c r="E101" s="1236"/>
      <c r="F101" s="1237"/>
      <c r="G101" s="1238" t="s">
        <v>681</v>
      </c>
      <c r="H101" s="1239">
        <f>SUM(H97:H100)</f>
        <v>31571.43599</v>
      </c>
    </row>
    <row r="102">
      <c r="B102" s="364"/>
      <c r="C102" s="364"/>
      <c r="D102" s="364"/>
      <c r="E102" s="364"/>
      <c r="F102" s="364"/>
      <c r="G102" s="364"/>
      <c r="H102" s="364"/>
    </row>
    <row r="103">
      <c r="B103" s="1217" t="s">
        <v>998</v>
      </c>
      <c r="C103" s="276"/>
      <c r="D103" s="1218"/>
      <c r="E103" s="1218"/>
      <c r="F103" s="1218"/>
      <c r="G103" s="1218"/>
      <c r="H103" s="1218"/>
    </row>
    <row r="104">
      <c r="B104" s="1132" t="s">
        <v>982</v>
      </c>
      <c r="C104" s="1219" t="s">
        <v>983</v>
      </c>
      <c r="D104" s="1219" t="s">
        <v>984</v>
      </c>
      <c r="E104" s="1219" t="s">
        <v>985</v>
      </c>
      <c r="F104" s="1219" t="s">
        <v>986</v>
      </c>
      <c r="G104" s="1219" t="s">
        <v>987</v>
      </c>
      <c r="H104" s="1220" t="s">
        <v>988</v>
      </c>
    </row>
    <row r="105">
      <c r="B105" s="1221" t="s">
        <v>989</v>
      </c>
      <c r="C105" s="1222">
        <f>'MK ACV Distribution'!C35</f>
        <v>0.3636363636</v>
      </c>
      <c r="D105" s="1223">
        <f>C105*'MK Sales Projections'!$G$14</f>
        <v>86809.70874</v>
      </c>
      <c r="E105" s="1224" t="s">
        <v>990</v>
      </c>
      <c r="F105" s="1223">
        <f>IF(E105="YES",D105/'OM Assumptions'!$C$32, "-")</f>
        <v>43.40485437</v>
      </c>
      <c r="G105" s="1224">
        <f>'OM Assumptions'!$F$31*((1+'OM Assumptions'!$F$32)^4)</f>
        <v>266.2783114</v>
      </c>
      <c r="H105" s="1225">
        <f>IF(E105="YES",F105*G105,(D105/'OM Assumptions'!$F$27)*'OM Assumptions'!$F$30*((1+'OM Assumptions'!$F$32)^2))</f>
        <v>11557.77133</v>
      </c>
    </row>
    <row r="106">
      <c r="B106" s="1226" t="s">
        <v>991</v>
      </c>
      <c r="C106" s="1227">
        <f>'MK ACV Distribution'!D35</f>
        <v>0.2727272727</v>
      </c>
      <c r="D106" s="1230">
        <f>C106*'MK Sales Projections'!$G$14</f>
        <v>65107.28156</v>
      </c>
      <c r="E106" s="1229" t="s">
        <v>992</v>
      </c>
      <c r="F106" s="1230" t="str">
        <f>IF(E106="YES",D106/'OM Assumptions'!$C$32, "-")</f>
        <v>-</v>
      </c>
      <c r="G106" s="1231" t="s">
        <v>603</v>
      </c>
      <c r="H106" s="1232">
        <f>IF(E106="YES",F106*G106,(D106/'OM Assumptions'!$F$27)*'OM Assumptions'!$F$30*((1+'OM Assumptions'!$F$32)^4))</f>
        <v>23785.0477</v>
      </c>
    </row>
    <row r="107">
      <c r="B107" s="1226" t="s">
        <v>993</v>
      </c>
      <c r="C107" s="1227">
        <f>'MK ACV Distribution'!E35</f>
        <v>0.2424242424</v>
      </c>
      <c r="D107" s="1230">
        <f>C107*'MK Sales Projections'!$G$14</f>
        <v>57873.13916</v>
      </c>
      <c r="E107" s="1229" t="s">
        <v>990</v>
      </c>
      <c r="F107" s="1230">
        <f>IF(E107="YES",D107/'OM Assumptions'!$C$32, "-")</f>
        <v>28.93656958</v>
      </c>
      <c r="G107" s="1229">
        <f>G105</f>
        <v>266.2783114</v>
      </c>
      <c r="H107" s="1232">
        <f>IF(E107="YES",F107*G107,(D107/'OM Assumptions'!$F$27)*'OM Assumptions'!$F$30*((1+'OM Assumptions'!$F$32)^2))</f>
        <v>7705.180885</v>
      </c>
    </row>
    <row r="108">
      <c r="B108" s="1226" t="s">
        <v>994</v>
      </c>
      <c r="C108" s="1244">
        <f>'MK ACV Distribution'!F35</f>
        <v>0.1212121212</v>
      </c>
      <c r="D108" s="1230">
        <f>C108*'MK Sales Projections'!$G$14</f>
        <v>28936.56958</v>
      </c>
      <c r="E108" s="1233" t="s">
        <v>990</v>
      </c>
      <c r="F108" s="1230">
        <f>IF(E108="YES",D108/'OM Assumptions'!$C$32, "-")</f>
        <v>14.46828479</v>
      </c>
      <c r="G108" s="1234">
        <f>G105</f>
        <v>266.2783114</v>
      </c>
      <c r="H108" s="1232">
        <f>IF(E108="YES",F108*G108,(D108/'OM Assumptions'!$F$27)*'OM Assumptions'!$F$30*((1+'OM Assumptions'!$F$32)^2))</f>
        <v>3852.590442</v>
      </c>
    </row>
    <row r="109">
      <c r="B109" s="1235"/>
      <c r="C109" s="1236"/>
      <c r="D109" s="1236"/>
      <c r="E109" s="1236"/>
      <c r="F109" s="1237"/>
      <c r="G109" s="1238" t="s">
        <v>681</v>
      </c>
      <c r="H109" s="1239">
        <f>SUM(H105:H108)</f>
        <v>46900.59035</v>
      </c>
    </row>
  </sheetData>
  <mergeCells count="10">
    <mergeCell ref="B87:C87"/>
    <mergeCell ref="B95:C95"/>
    <mergeCell ref="B103:C103"/>
    <mergeCell ref="B2:C2"/>
    <mergeCell ref="B4:C4"/>
    <mergeCell ref="B15:C15"/>
    <mergeCell ref="B60:H60"/>
    <mergeCell ref="B62:C62"/>
    <mergeCell ref="B71:C71"/>
    <mergeCell ref="B79:C79"/>
  </mergeCells>
  <hyperlinks>
    <hyperlink r:id="rId1" ref="B16"/>
  </hyperlinks>
  <printOptions/>
  <pageMargins bottom="0.75" footer="0.0" header="0.0" left="0.7" right="0.7" top="0.75"/>
  <pageSetup orientation="landscape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CC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36.25"/>
    <col customWidth="1" min="3" max="3" width="32.25"/>
  </cols>
  <sheetData>
    <row r="2">
      <c r="B2" s="1" t="s">
        <v>999</v>
      </c>
      <c r="C2" s="3"/>
    </row>
    <row r="4">
      <c r="B4" s="1248" t="s">
        <v>1000</v>
      </c>
      <c r="C4" s="1249"/>
    </row>
    <row r="5">
      <c r="B5" s="1250" t="s">
        <v>1001</v>
      </c>
      <c r="C5" s="1251" t="s">
        <v>1002</v>
      </c>
    </row>
    <row r="6">
      <c r="B6" s="1252" t="s">
        <v>1003</v>
      </c>
      <c r="C6" s="1253">
        <v>10000.0</v>
      </c>
    </row>
    <row r="7">
      <c r="B7" s="1254" t="s">
        <v>1004</v>
      </c>
      <c r="C7" s="1255">
        <v>9000.0</v>
      </c>
    </row>
    <row r="8">
      <c r="B8" s="1254" t="s">
        <v>1005</v>
      </c>
      <c r="C8" s="1255">
        <v>20000.0</v>
      </c>
    </row>
    <row r="9">
      <c r="B9" s="1254" t="s">
        <v>1006</v>
      </c>
      <c r="C9" s="1255">
        <v>4000.0</v>
      </c>
    </row>
    <row r="10">
      <c r="B10" s="1254" t="s">
        <v>1007</v>
      </c>
      <c r="C10" s="1255">
        <v>5000.0</v>
      </c>
    </row>
    <row r="11">
      <c r="B11" s="1256" t="s">
        <v>1008</v>
      </c>
      <c r="C11" s="1257">
        <v>7000.0</v>
      </c>
    </row>
    <row r="12">
      <c r="B12" s="1258" t="s">
        <v>1009</v>
      </c>
      <c r="C12" s="1259">
        <f>SUM(C6:C11)</f>
        <v>55000</v>
      </c>
    </row>
    <row r="14">
      <c r="B14" s="1248" t="s">
        <v>1010</v>
      </c>
      <c r="C14" s="1249"/>
    </row>
    <row r="15">
      <c r="B15" s="1250" t="s">
        <v>1001</v>
      </c>
      <c r="C15" s="1251" t="s">
        <v>1002</v>
      </c>
    </row>
    <row r="16">
      <c r="B16" s="1252" t="s">
        <v>1011</v>
      </c>
      <c r="C16" s="1260" t="s">
        <v>1012</v>
      </c>
    </row>
    <row r="17">
      <c r="B17" s="1261" t="s">
        <v>1013</v>
      </c>
      <c r="C17" s="1262">
        <f>'OM Assumptions'!F23</f>
        <v>30</v>
      </c>
    </row>
    <row r="18">
      <c r="B18" s="1263" t="s">
        <v>1014</v>
      </c>
      <c r="C18" s="1264">
        <f>C16*C17</f>
        <v>156000</v>
      </c>
    </row>
    <row r="20">
      <c r="B20" s="1248" t="s">
        <v>1015</v>
      </c>
      <c r="C20" s="1249"/>
    </row>
    <row r="21">
      <c r="B21" s="1250" t="s">
        <v>1001</v>
      </c>
      <c r="C21" s="1251" t="s">
        <v>1002</v>
      </c>
    </row>
    <row r="22">
      <c r="B22" s="1252" t="s">
        <v>897</v>
      </c>
      <c r="C22" s="1253">
        <f>'OM Location Analysis '!C11*(1-0.3)</f>
        <v>38176.32</v>
      </c>
    </row>
    <row r="23">
      <c r="B23" s="1265" t="s">
        <v>1016</v>
      </c>
      <c r="C23" s="1266">
        <f>C29*'OM Assumptions'!F24</f>
        <v>2176.688226</v>
      </c>
    </row>
    <row r="24">
      <c r="B24" s="1261" t="s">
        <v>1017</v>
      </c>
      <c r="C24" s="1262">
        <f>'OM Location Analysis '!C12*(1-0.3)</f>
        <v>2009.28</v>
      </c>
    </row>
    <row r="25">
      <c r="B25" s="1263" t="s">
        <v>1018</v>
      </c>
      <c r="C25" s="1264">
        <f>SUM(C22:C24)</f>
        <v>42362.28823</v>
      </c>
    </row>
    <row r="27">
      <c r="B27" s="1248" t="s">
        <v>1019</v>
      </c>
      <c r="C27" s="1249"/>
    </row>
    <row r="28">
      <c r="B28" s="1250" t="s">
        <v>1001</v>
      </c>
      <c r="C28" s="1251" t="s">
        <v>1002</v>
      </c>
    </row>
    <row r="29">
      <c r="B29" s="1254" t="s">
        <v>1020</v>
      </c>
      <c r="C29" s="1255">
        <f>'OM Inventory'!C45+('OM Inventory'!I7*'OM Direct Materials &amp; Direct La'!F33)</f>
        <v>21766.88226</v>
      </c>
    </row>
    <row r="30">
      <c r="B30" s="1254" t="s">
        <v>1021</v>
      </c>
      <c r="C30" s="1255">
        <f>'OM Inventory'!D53/6</f>
        <v>8554.895281</v>
      </c>
    </row>
    <row r="31">
      <c r="B31" s="1256" t="s">
        <v>1022</v>
      </c>
      <c r="C31" s="1257">
        <f>'OM Inventory'!F9/6</f>
        <v>2341.556234</v>
      </c>
    </row>
    <row r="32">
      <c r="B32" s="1263" t="s">
        <v>1023</v>
      </c>
      <c r="C32" s="1264">
        <f>SUM(C29:C31)</f>
        <v>32663.33377</v>
      </c>
    </row>
  </sheetData>
  <mergeCells count="5">
    <mergeCell ref="B2:C2"/>
    <mergeCell ref="B4:C4"/>
    <mergeCell ref="B14:C14"/>
    <mergeCell ref="B20:C20"/>
    <mergeCell ref="B27:C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2024-09-20T17:29:16Z</dcterms:created>
  <dc:creator>Fox, John</dc:creator>
</cp:coreProperties>
</file>