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bookViews>
    <workbookView xWindow="0" yWindow="0" windowWidth="19200" windowHeight="7032" activeTab="1"/>
  </bookViews>
  <sheets>
    <sheet name="RESUMEN" sheetId="7" r:id="rId1"/>
    <sheet name="Presupuesto Noc Transporte" sheetId="5" r:id="rId2"/>
    <sheet name="EE +ARQ" sheetId="8" r:id="rId3"/>
    <sheet name="IIEE + IIS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P">#REF!</definedName>
    <definedName name="\R">#REF!</definedName>
    <definedName name="____f" localSheetId="2">[1]CATV_E!#REF!</definedName>
    <definedName name="____f">[1]CATV_E!#REF!</definedName>
    <definedName name="____new11" localSheetId="2" hidden="1">{#N/A,#N/A,FALSE,"Global by BU";#N/A,#N/A,FALSE,"U.S. by BU";#N/A,#N/A,FALSE,"Canada by BU";#N/A,#N/A,FALSE,"Europe by BU";#N/A,#N/A,FALSE,"Asia by BU";#N/A,#N/A,FALSE,"Cala by BU"}</definedName>
    <definedName name="____new11" hidden="1">{#N/A,#N/A,FALSE,"Global by BU";#N/A,#N/A,FALSE,"U.S. by BU";#N/A,#N/A,FALSE,"Canada by BU";#N/A,#N/A,FALSE,"Europe by BU";#N/A,#N/A,FALSE,"Asia by BU";#N/A,#N/A,FALSE,"Cala by BU"}</definedName>
    <definedName name="____new12" localSheetId="2" hidden="1">{#N/A,#N/A,FALSE,"Global by BU";#N/A,#N/A,FALSE,"U.S. by BU";#N/A,#N/A,FALSE,"Canada by BU";#N/A,#N/A,FALSE,"Europe by BU";#N/A,#N/A,FALSE,"Asia by BU";#N/A,#N/A,FALSE,"Cala by BU"}</definedName>
    <definedName name="____new12" hidden="1">{#N/A,#N/A,FALSE,"Global by BU";#N/A,#N/A,FALSE,"U.S. by BU";#N/A,#N/A,FALSE,"Canada by BU";#N/A,#N/A,FALSE,"Europe by BU";#N/A,#N/A,FALSE,"Asia by BU";#N/A,#N/A,FALSE,"Cala by BU"}</definedName>
    <definedName name="____wrn1" localSheetId="2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___wrn1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__f">[1]CATV_E!#REF!</definedName>
    <definedName name="___new11" localSheetId="2" hidden="1">{#N/A,#N/A,FALSE,"Global by BU";#N/A,#N/A,FALSE,"U.S. by BU";#N/A,#N/A,FALSE,"Canada by BU";#N/A,#N/A,FALSE,"Europe by BU";#N/A,#N/A,FALSE,"Asia by BU";#N/A,#N/A,FALSE,"Cala by BU"}</definedName>
    <definedName name="___new11" hidden="1">{#N/A,#N/A,FALSE,"Global by BU";#N/A,#N/A,FALSE,"U.S. by BU";#N/A,#N/A,FALSE,"Canada by BU";#N/A,#N/A,FALSE,"Europe by BU";#N/A,#N/A,FALSE,"Asia by BU";#N/A,#N/A,FALSE,"Cala by BU"}</definedName>
    <definedName name="___new12" localSheetId="2" hidden="1">{#N/A,#N/A,FALSE,"Global by BU";#N/A,#N/A,FALSE,"U.S. by BU";#N/A,#N/A,FALSE,"Canada by BU";#N/A,#N/A,FALSE,"Europe by BU";#N/A,#N/A,FALSE,"Asia by BU";#N/A,#N/A,FALSE,"Cala by BU"}</definedName>
    <definedName name="___new12" hidden="1">{#N/A,#N/A,FALSE,"Global by BU";#N/A,#N/A,FALSE,"U.S. by BU";#N/A,#N/A,FALSE,"Canada by BU";#N/A,#N/A,FALSE,"Europe by BU";#N/A,#N/A,FALSE,"Asia by BU";#N/A,#N/A,FALSE,"Cala by BU"}</definedName>
    <definedName name="___wrn1" localSheetId="2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__wrn1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_123Graph_A" hidden="1">#REF!</definedName>
    <definedName name="__123gRAPH_b" hidden="1">#REF!</definedName>
    <definedName name="__123Graph_D" hidden="1">#REF!</definedName>
    <definedName name="__123Graph_E" hidden="1">#REF!</definedName>
    <definedName name="__f">[1]CATV_E!#REF!</definedName>
    <definedName name="__new11" localSheetId="2" hidden="1">{#N/A,#N/A,FALSE,"Global by BU";#N/A,#N/A,FALSE,"U.S. by BU";#N/A,#N/A,FALSE,"Canada by BU";#N/A,#N/A,FALSE,"Europe by BU";#N/A,#N/A,FALSE,"Asia by BU";#N/A,#N/A,FALSE,"Cala by BU"}</definedName>
    <definedName name="__new11" hidden="1">{#N/A,#N/A,FALSE,"Global by BU";#N/A,#N/A,FALSE,"U.S. by BU";#N/A,#N/A,FALSE,"Canada by BU";#N/A,#N/A,FALSE,"Europe by BU";#N/A,#N/A,FALSE,"Asia by BU";#N/A,#N/A,FALSE,"Cala by BU"}</definedName>
    <definedName name="__new12" localSheetId="2" hidden="1">{#N/A,#N/A,FALSE,"Global by BU";#N/A,#N/A,FALSE,"U.S. by BU";#N/A,#N/A,FALSE,"Canada by BU";#N/A,#N/A,FALSE,"Europe by BU";#N/A,#N/A,FALSE,"Asia by BU";#N/A,#N/A,FALSE,"Cala by BU"}</definedName>
    <definedName name="__new12" hidden="1">{#N/A,#N/A,FALSE,"Global by BU";#N/A,#N/A,FALSE,"U.S. by BU";#N/A,#N/A,FALSE,"Canada by BU";#N/A,#N/A,FALSE,"Europe by BU";#N/A,#N/A,FALSE,"Asia by BU";#N/A,#N/A,FALSE,"Cala by BU"}</definedName>
    <definedName name="__wrn1" localSheetId="2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_wrn1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2">#REF!</definedName>
    <definedName name="_4Excel_BuiltIn_Print_Area_1_1">#REF!</definedName>
    <definedName name="_5TEXAS_LONG">#REF!</definedName>
    <definedName name="_8.6.2">[2]mweqpt!#REF!</definedName>
    <definedName name="_A111111">#REF!</definedName>
    <definedName name="_A66000">#REF!</definedName>
    <definedName name="_A69999">#REF!</definedName>
    <definedName name="_A70000">#REF!</definedName>
    <definedName name="_A79999">#REF!</definedName>
    <definedName name="_A89999">#REF!</definedName>
    <definedName name="_A99999">#REF!</definedName>
    <definedName name="_A999999">#REF!</definedName>
    <definedName name="_ACC53">#REF!</definedName>
    <definedName name="_ACC54">#REF!</definedName>
    <definedName name="_ACC56">#REF!</definedName>
    <definedName name="_BAV5">#REF!</definedName>
    <definedName name="_BUT38">#REF!</definedName>
    <definedName name="_BUT78">#REF!</definedName>
    <definedName name="_Dia13">#REF!</definedName>
    <definedName name="_dia14">#REF!</definedName>
    <definedName name="_dia15">#REF!</definedName>
    <definedName name="_dia16">#REF!</definedName>
    <definedName name="_dia19">#REF!</definedName>
    <definedName name="_dia5">#REF!</definedName>
    <definedName name="_Div1">#REF!</definedName>
    <definedName name="_Div10">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O1">#REF!</definedName>
    <definedName name="_DTO2">#REF!</definedName>
    <definedName name="_f">[1]CATV_E!#REF!</definedName>
    <definedName name="_F2D">#REF!</definedName>
    <definedName name="_Fill" hidden="1">#REF!</definedName>
    <definedName name="_xlnm._FilterDatabase" localSheetId="2" hidden="1">#REF!</definedName>
    <definedName name="_xlnm._FilterDatabase" localSheetId="1" hidden="1">'Presupuesto Noc Transporte'!$A$8:$H$213</definedName>
    <definedName name="_xlnm._FilterDatabase" hidden="1">#REF!</definedName>
    <definedName name="_Key1" localSheetId="2" hidden="1">#REF!</definedName>
    <definedName name="_Key1" hidden="1">#REF!</definedName>
    <definedName name="_Key2" hidden="1">#REF!</definedName>
    <definedName name="_Kt48800">#REF!</definedName>
    <definedName name="_LI1">#REF!</definedName>
    <definedName name="_LI2">#REF!</definedName>
    <definedName name="_LI3">#REF!</definedName>
    <definedName name="_new11" localSheetId="2" hidden="1">{#N/A,#N/A,FALSE,"Global by BU";#N/A,#N/A,FALSE,"U.S. by BU";#N/A,#N/A,FALSE,"Canada by BU";#N/A,#N/A,FALSE,"Europe by BU";#N/A,#N/A,FALSE,"Asia by BU";#N/A,#N/A,FALSE,"Cala by BU"}</definedName>
    <definedName name="_new11" hidden="1">{#N/A,#N/A,FALSE,"Global by BU";#N/A,#N/A,FALSE,"U.S. by BU";#N/A,#N/A,FALSE,"Canada by BU";#N/A,#N/A,FALSE,"Europe by BU";#N/A,#N/A,FALSE,"Asia by BU";#N/A,#N/A,FALSE,"Cala by BU"}</definedName>
    <definedName name="_new12" localSheetId="2" hidden="1">{#N/A,#N/A,FALSE,"Global by BU";#N/A,#N/A,FALSE,"U.S. by BU";#N/A,#N/A,FALSE,"Canada by BU";#N/A,#N/A,FALSE,"Europe by BU";#N/A,#N/A,FALSE,"Asia by BU";#N/A,#N/A,FALSE,"Cala by BU"}</definedName>
    <definedName name="_new12" hidden="1">{#N/A,#N/A,FALSE,"Global by BU";#N/A,#N/A,FALSE,"U.S. by BU";#N/A,#N/A,FALSE,"Canada by BU";#N/A,#N/A,FALSE,"Europe by BU";#N/A,#N/A,FALSE,"Asia by BU";#N/A,#N/A,FALSE,"Cala by BU"}</definedName>
    <definedName name="_OA1">'[3]HR-TECNOCOM'!$D$9</definedName>
    <definedName name="_Order1" hidden="1">255</definedName>
    <definedName name="_Order2" hidden="1">255</definedName>
    <definedName name="_Parse_Out" hidden="1">'[4]7422CW00'!#REF!</definedName>
    <definedName name="_PF1">#REF!</definedName>
    <definedName name="_PF2">#REF!</definedName>
    <definedName name="_PF3">#REF!</definedName>
    <definedName name="_PF4">#REF!</definedName>
    <definedName name="_PF5">#REF!</definedName>
    <definedName name="_PL1">#REF!</definedName>
    <definedName name="_pte2">#REF!</definedName>
    <definedName name="_PXB1" localSheetId="2">#REF!,#REF!,#REF!</definedName>
    <definedName name="_PXB1">#REF!,#REF!,#REF!</definedName>
    <definedName name="_PXB2">#REF!,#REF!,#REF!</definedName>
    <definedName name="_PXB3">#REF!,#REF!,#REF!</definedName>
    <definedName name="_PXB4">#REF!,#REF!,#REF!</definedName>
    <definedName name="_PXB5">#REF!,#REF!</definedName>
    <definedName name="_QMY402">#REF!</definedName>
    <definedName name="_QMY403">#REF!</definedName>
    <definedName name="_QMY405">#REF!</definedName>
    <definedName name="_QMY406">#REF!</definedName>
    <definedName name="_QMY407">#REF!</definedName>
    <definedName name="_re1">#REF!</definedName>
    <definedName name="_re10">#REF!</definedName>
    <definedName name="_re11">#REF!</definedName>
    <definedName name="_re12">#REF!</definedName>
    <definedName name="_re13">#REF!</definedName>
    <definedName name="_re14">#REF!</definedName>
    <definedName name="_re15">#REF!</definedName>
    <definedName name="_re16">#REF!</definedName>
    <definedName name="_re17">#REF!</definedName>
    <definedName name="_re18">#REF!</definedName>
    <definedName name="_re19">#REF!</definedName>
    <definedName name="_re2">#REF!</definedName>
    <definedName name="_re20">#REF!</definedName>
    <definedName name="_re21">#REF!</definedName>
    <definedName name="_re22">#REF!</definedName>
    <definedName name="_re23">#REF!</definedName>
    <definedName name="_re24">#REF!</definedName>
    <definedName name="_re25">#REF!</definedName>
    <definedName name="_re26">#REF!</definedName>
    <definedName name="_re27">#REF!</definedName>
    <definedName name="_re28">#REF!</definedName>
    <definedName name="_re29">#REF!</definedName>
    <definedName name="_re3">#REF!</definedName>
    <definedName name="_re30">#REF!</definedName>
    <definedName name="_re31">#REF!</definedName>
    <definedName name="_re32">#REF!</definedName>
    <definedName name="_re33">#REF!</definedName>
    <definedName name="_re34">#REF!</definedName>
    <definedName name="_re4">#REF!</definedName>
    <definedName name="_re5">#REF!</definedName>
    <definedName name="_re6">#REF!</definedName>
    <definedName name="_re7">#REF!</definedName>
    <definedName name="_re8">#REF!</definedName>
    <definedName name="_re9">#REF!</definedName>
    <definedName name="_reg1">#REF!</definedName>
    <definedName name="_RES1">#REF!</definedName>
    <definedName name="_RES2">#REF!</definedName>
    <definedName name="_rs1">#REF!</definedName>
    <definedName name="_rs10">#REF!</definedName>
    <definedName name="_rs11">#REF!</definedName>
    <definedName name="_rs12">#REF!</definedName>
    <definedName name="_rs13">#REF!</definedName>
    <definedName name="_rs14">#REF!</definedName>
    <definedName name="_rs15">#REF!</definedName>
    <definedName name="_rs16">#REF!</definedName>
    <definedName name="_rs17">#REF!</definedName>
    <definedName name="_rs18">#REF!</definedName>
    <definedName name="_rs19">#REF!</definedName>
    <definedName name="_rs2">#REF!</definedName>
    <definedName name="_rs20">#REF!</definedName>
    <definedName name="_rs21">#REF!</definedName>
    <definedName name="_rs22">#REF!</definedName>
    <definedName name="_rs23">#REF!</definedName>
    <definedName name="_rs24">#REF!</definedName>
    <definedName name="_rs25">#REF!</definedName>
    <definedName name="_rs26">#REF!</definedName>
    <definedName name="_rs27">#REF!</definedName>
    <definedName name="_rs28">#REF!</definedName>
    <definedName name="_rs29">#REF!</definedName>
    <definedName name="_rs3">#REF!</definedName>
    <definedName name="_rs30">#REF!</definedName>
    <definedName name="_rs31">#REF!</definedName>
    <definedName name="_rs32">#REF!</definedName>
    <definedName name="_rs33">#REF!</definedName>
    <definedName name="_rs34">#REF!</definedName>
    <definedName name="_rs4">#REF!</definedName>
    <definedName name="_rs5">#REF!</definedName>
    <definedName name="_rs6">#REF!</definedName>
    <definedName name="_rs7">#REF!</definedName>
    <definedName name="_rs8">#REF!</definedName>
    <definedName name="_rs9">#REF!</definedName>
    <definedName name="_SA2">#REF!</definedName>
    <definedName name="_Seg1">#REF!</definedName>
    <definedName name="_seg10">#REF!</definedName>
    <definedName name="_seg11">#REF!</definedName>
    <definedName name="_seg12">#REF!</definedName>
    <definedName name="_seg13">#REF!</definedName>
    <definedName name="_seg14">#REF!</definedName>
    <definedName name="_seg15">#REF!</definedName>
    <definedName name="_seg16">#REF!</definedName>
    <definedName name="_seg17">#REF!</definedName>
    <definedName name="_seg18">#REF!</definedName>
    <definedName name="_seg19">#REF!</definedName>
    <definedName name="_seg2">#REF!</definedName>
    <definedName name="_seg20">#REF!</definedName>
    <definedName name="_seg21">#REF!</definedName>
    <definedName name="_seg22">#REF!</definedName>
    <definedName name="_seg23">#REF!</definedName>
    <definedName name="_seg24">#REF!</definedName>
    <definedName name="_seg25">#REF!</definedName>
    <definedName name="_seg3">#REF!</definedName>
    <definedName name="_seg4">#REF!</definedName>
    <definedName name="_seg5">#REF!</definedName>
    <definedName name="_seg6">#REF!</definedName>
    <definedName name="_seg7">#REF!</definedName>
    <definedName name="_seg8">#REF!</definedName>
    <definedName name="_seg9">#REF!</definedName>
    <definedName name="_Sort" hidden="1">#REF!</definedName>
    <definedName name="_sp13">#REF!</definedName>
    <definedName name="_sp14">#REF!</definedName>
    <definedName name="_sp15">#REF!</definedName>
    <definedName name="_sp16">#REF!</definedName>
    <definedName name="_sp19">#REF!</definedName>
    <definedName name="_sp5">#REF!</definedName>
    <definedName name="_SP68">[5]!volta_para_tela_principal</definedName>
    <definedName name="_sp69">[5]!_sp69</definedName>
    <definedName name="_SWO10">#REF!</definedName>
    <definedName name="_SWO101">#REF!</definedName>
    <definedName name="_SWO11">#REF!</definedName>
    <definedName name="_SWO111">#REF!</definedName>
    <definedName name="_SWO12">#REF!</definedName>
    <definedName name="_SWO7">#REF!</definedName>
    <definedName name="_SWO8">#REF!</definedName>
    <definedName name="_SWO9">#REF!</definedName>
    <definedName name="_Table1_In1" hidden="1">[6]OS!#REF!</definedName>
    <definedName name="_Table2_In1" hidden="1">[6]OS!#REF!</definedName>
    <definedName name="_Table2_In2" hidden="1">[6]OS!#REF!</definedName>
    <definedName name="_Table2_In3" hidden="1">#REF!</definedName>
    <definedName name="_Table2_In4" hidden="1">[6]Applications!#REF!</definedName>
    <definedName name="_TC1">#REF!</definedName>
    <definedName name="_TC2">#REF!</definedName>
    <definedName name="_TCA704">#REF!</definedName>
    <definedName name="_Toc101757433">#REF!</definedName>
    <definedName name="_TOR10">#REF!</definedName>
    <definedName name="_TOR14">#REF!</definedName>
    <definedName name="_TR01">#REF!</definedName>
    <definedName name="_TR4">#REF!</definedName>
    <definedName name="_Ver1">#REF!</definedName>
    <definedName name="_Ver10">#REF!</definedName>
    <definedName name="_Ver2">#REF!</definedName>
    <definedName name="_Ver3">#REF!</definedName>
    <definedName name="_Ver4">#REF!</definedName>
    <definedName name="_Ver5">#REF!</definedName>
    <definedName name="_Ver6">#REF!</definedName>
    <definedName name="_Ver7">#REF!</definedName>
    <definedName name="_Ver8">#REF!</definedName>
    <definedName name="_Ver9">#REF!</definedName>
    <definedName name="_wrn1" localSheetId="2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wrn1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_zz1">#REF!</definedName>
    <definedName name="a_bsc_1">#REF!</definedName>
    <definedName name="a_bsc_10">#REF!</definedName>
    <definedName name="a_bsc_2">#REF!</definedName>
    <definedName name="a_bsc_3">#REF!</definedName>
    <definedName name="a_bsc_4">#REF!</definedName>
    <definedName name="a_bsc_5">#REF!</definedName>
    <definedName name="a_bsc_6">#REF!</definedName>
    <definedName name="a_bsc_7">#REF!</definedName>
    <definedName name="a_bsc_8">#REF!</definedName>
    <definedName name="a_bsc_9">#REF!</definedName>
    <definedName name="a_fix_1">#REF!</definedName>
    <definedName name="a_fix_1_cas">#REF!</definedName>
    <definedName name="a_fix_2">#REF!</definedName>
    <definedName name="a_fix_2_cas">#REF!</definedName>
    <definedName name="a_fix_3_cas">#REF!</definedName>
    <definedName name="A_IMPRESIÓN_IM">#REF!</definedName>
    <definedName name="a_out_fix_total">#REF!</definedName>
    <definedName name="a_out_fix_trunk">#REF!</definedName>
    <definedName name="A0">#REF!</definedName>
    <definedName name="A20000000000">#REF!</definedName>
    <definedName name="AA">#REF!</definedName>
    <definedName name="AAA_10">#REF!</definedName>
    <definedName name="AAA_100">#REF!</definedName>
    <definedName name="AAA_20">#REF!</definedName>
    <definedName name="AAA_30">#REF!</definedName>
    <definedName name="AAA_40">#REF!</definedName>
    <definedName name="AAA_50">#REF!</definedName>
    <definedName name="AAA_60">#REF!</definedName>
    <definedName name="AAA_70">#REF!</definedName>
    <definedName name="AAA_80">#REF!</definedName>
    <definedName name="AAA_90">#REF!</definedName>
    <definedName name="AB">#REF!</definedName>
    <definedName name="abc">#REF!</definedName>
    <definedName name="ABCCXBCXB" localSheetId="2" hidden="1">{#N/A,#N/A,TRUE,"1842CWN0"}</definedName>
    <definedName name="ABCCXBCXB" hidden="1">{#N/A,#N/A,TRUE,"1842CWN0"}</definedName>
    <definedName name="ABRAZ">#REF!</definedName>
    <definedName name="ACCESORIOS">#REF!</definedName>
    <definedName name="ACCESS_SERVICES">#REF!</definedName>
    <definedName name="AccessDatabase" hidden="1">"C:\Mis documentos\Plan99_Ad\CALCULOB2.mdb"</definedName>
    <definedName name="accom">#REF!</definedName>
    <definedName name="Accounting">#REF!</definedName>
    <definedName name="activo">#REF!</definedName>
    <definedName name="Actual_no_ACME">#REF!</definedName>
    <definedName name="ad">#REF!</definedName>
    <definedName name="Adaptador_de_COBRE_1_2">#REF!</definedName>
    <definedName name="Addon">#REF!</definedName>
    <definedName name="ADSL">#REF!</definedName>
    <definedName name="AE">#REF!</definedName>
    <definedName name="AF">#REF!</definedName>
    <definedName name="AFI">#REF!</definedName>
    <definedName name="AFN">#REF!</definedName>
    <definedName name="AFNIT">#REF!</definedName>
    <definedName name="AFP">#REF!</definedName>
    <definedName name="AFPYN">#REF!</definedName>
    <definedName name="Agentesporresponsable">#REF!</definedName>
    <definedName name="Alambre_galvanizado___18">#REF!</definedName>
    <definedName name="Alambre_TW___10_AWG">#REF!</definedName>
    <definedName name="ali_circuits">#REF!</definedName>
    <definedName name="ali_traffic">#REF!</definedName>
    <definedName name="Allowance_Day__USD">#REF!</definedName>
    <definedName name="Allowance_Day_USD">#REF!</definedName>
    <definedName name="alm">#N/A</definedName>
    <definedName name="Almacén_sótano">#REF!</definedName>
    <definedName name="Alquiler">#REF!</definedName>
    <definedName name="AlquilerEquiposMes">#REF!</definedName>
    <definedName name="AMI">#REF!</definedName>
    <definedName name="AN">#REF!</definedName>
    <definedName name="ANAC">#REF!</definedName>
    <definedName name="Analisis">#REF!</definedName>
    <definedName name="ANDREW">#REF!</definedName>
    <definedName name="ANEXO3">#REF!</definedName>
    <definedName name="ANEXO6">#REF!</definedName>
    <definedName name="Anillo_plano_de_3_8">#REF!</definedName>
    <definedName name="anscount" hidden="1">1</definedName>
    <definedName name="ANTENNA_tab">#REF!</definedName>
    <definedName name="AP_IOG_type">#REF!</definedName>
    <definedName name="AP_Lag">#REF!</definedName>
    <definedName name="Application">#REF!</definedName>
    <definedName name="approv">#REF!</definedName>
    <definedName name="APZ21211Factor">#REF!</definedName>
    <definedName name="APZ21220Factor">#REF!</definedName>
    <definedName name="APZ21225Factor">#REF!</definedName>
    <definedName name="APZ21230Factor">#REF!</definedName>
    <definedName name="AR_EOS">#REF!</definedName>
    <definedName name="AR_HELPDESK">#REF!</definedName>
    <definedName name="AR_HELPDESK247">#REF!</definedName>
    <definedName name="AR_NODE_IMP">#REF!</definedName>
    <definedName name="AR_REMOTEPROB">#REF!</definedName>
    <definedName name="AR_SPRS">#REF!</definedName>
    <definedName name="AR_SUPPORT_BASIC">#REF!</definedName>
    <definedName name="Arancel">#REF!</definedName>
    <definedName name="Area__cm2">#REF!</definedName>
    <definedName name="AREA_COLUMNAS">#REF!</definedName>
    <definedName name="_xlnm.Print_Area" localSheetId="2">'EE +ARQ'!$A$1:$K$1592</definedName>
    <definedName name="_xlnm.Print_Area" localSheetId="3">'IIEE + IISS'!$A$1:$J$229</definedName>
    <definedName name="_xlnm.Print_Area" localSheetId="1">'Presupuesto Noc Transporte'!$A$1:$G$215</definedName>
    <definedName name="_xlnm.Print_Area">#REF!</definedName>
    <definedName name="Area_mezzanine" localSheetId="2">#REF!</definedName>
    <definedName name="Area_mezzanine">#REF!</definedName>
    <definedName name="Area_piso1">#REF!</definedName>
    <definedName name="Area_piso2">#REF!</definedName>
    <definedName name="Area_piso3">#REF!</definedName>
    <definedName name="Área_Techada">#REF!</definedName>
    <definedName name="Area_terreno">#REF!</definedName>
    <definedName name="area1">#REF!</definedName>
    <definedName name="area10">#REF!</definedName>
    <definedName name="area11">#REF!</definedName>
    <definedName name="area12">#REF!</definedName>
    <definedName name="area13">#REF!</definedName>
    <definedName name="area14">#REF!</definedName>
    <definedName name="area15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ea7">#REF!</definedName>
    <definedName name="area8">#REF!</definedName>
    <definedName name="area9">#REF!</definedName>
    <definedName name="AreaCount">#REF!</definedName>
    <definedName name="AreaInputArea" localSheetId="2">#REF!,#REF!,#REF!</definedName>
    <definedName name="AreaInputArea">#REF!,#REF!,#REF!</definedName>
    <definedName name="Areas">#REF!</definedName>
    <definedName name="arenado">#REF!</definedName>
    <definedName name="Argentina">#N/A</definedName>
    <definedName name="Arial">#REF!</definedName>
    <definedName name="ARTEFACTOS">#REF!</definedName>
    <definedName name="ARTICLELIST1">#REF!</definedName>
    <definedName name="Artikelista3">#REF!</definedName>
    <definedName name="Artikellista1">#REF!</definedName>
    <definedName name="ARTIKELLISTA2">#REF!</definedName>
    <definedName name="Artikellista3">#REF!</definedName>
    <definedName name="AS_Call_Cap">#REF!</definedName>
    <definedName name="AS_CDRs">#REF!</definedName>
    <definedName name="AS_DNS_Q">#REF!</definedName>
    <definedName name="AS_Measured_Cap">#REF!</definedName>
    <definedName name="AS_Node">#REF!</definedName>
    <definedName name="AS_Offered_User_Cap">#REF!</definedName>
    <definedName name="asdfsd" localSheetId="2" hidden="1">{#N/A,#N/A,FALSE,"model"}</definedName>
    <definedName name="asdfsd" hidden="1">{#N/A,#N/A,FALSE,"model"}</definedName>
    <definedName name="AST">#REF!</definedName>
    <definedName name="ast_m_circuits">#REF!</definedName>
    <definedName name="ast_m_traffic">#REF!</definedName>
    <definedName name="astd4_circuits">#REF!</definedName>
    <definedName name="astd4_traffic">#REF!</definedName>
    <definedName name="astdr_circuits">#REF!</definedName>
    <definedName name="astdr_traffic">#REF!</definedName>
    <definedName name="astv2_circuits">#REF!</definedName>
    <definedName name="astv2_traffic">#REF!</definedName>
    <definedName name="astv3_traffic">#REF!</definedName>
    <definedName name="atrikellista2">#REF!</definedName>
    <definedName name="Auftragswert">#REF!</definedName>
    <definedName name="Auftragswert___0">#REF!</definedName>
    <definedName name="Auftragswert___1">#REF!</definedName>
    <definedName name="Auftragswert___10">#REF!</definedName>
    <definedName name="Auftragswert___11">#REF!</definedName>
    <definedName name="Auftragswert___12">#REF!</definedName>
    <definedName name="Auftragswert___2">#REF!</definedName>
    <definedName name="Auftragswert___3">#REF!</definedName>
    <definedName name="Auftragswert___4">#REF!</definedName>
    <definedName name="Auftragswert___5">#REF!</definedName>
    <definedName name="Auftragswert___6">#REF!</definedName>
    <definedName name="Auftragswert___7">#REF!</definedName>
    <definedName name="Autor">#REF!</definedName>
    <definedName name="Avail_for_traf_load_21211">#REF!</definedName>
    <definedName name="Avail_for_traf_load_21220">#REF!</definedName>
    <definedName name="Avail_for_traf_load_21225">#REF!</definedName>
    <definedName name="Avail_for_traf_load_21230">#REF!</definedName>
    <definedName name="Available_MS_ports">#REF!</definedName>
    <definedName name="AVAILIABILTY">#REF!</definedName>
    <definedName name="AVAILIABILTY___0">#REF!</definedName>
    <definedName name="AVAILIABILTY___1">#REF!</definedName>
    <definedName name="AVAILIABILTY___10">#REF!</definedName>
    <definedName name="AVAILIABILTY___11">#REF!</definedName>
    <definedName name="AVAILIABILTY___12">#REF!</definedName>
    <definedName name="AVAILIABILTY___2">#REF!</definedName>
    <definedName name="AVAILIABILTY___3">#REF!</definedName>
    <definedName name="AVAILIABILTY___4">#REF!</definedName>
    <definedName name="AVAILIABILTY___5">#REF!</definedName>
    <definedName name="AVAILIABILTY___6">#REF!</definedName>
    <definedName name="AVAILIABILTY___7">#REF!</definedName>
    <definedName name="Average_Group_Size">#REF!</definedName>
    <definedName name="AVRCAR">#REF!</definedName>
    <definedName name="AVRMUC">#REF!</definedName>
    <definedName name="AVRMUN">#REF!</definedName>
    <definedName name="avulso">#REF!</definedName>
    <definedName name="AXD_10G">#REF!</definedName>
    <definedName name="AXD_20G">#REF!</definedName>
    <definedName name="AXD_Base">#REF!</definedName>
    <definedName name="AXD_Base_red">#REF!</definedName>
    <definedName name="AXD_DI">#REF!</definedName>
    <definedName name="AXD_Line">#REF!</definedName>
    <definedName name="b">#REF!</definedName>
    <definedName name="B_answer">#REF!</definedName>
    <definedName name="B45XLD00C7AG" localSheetId="2">#REF!,#REF!</definedName>
    <definedName name="B45XLD00C7AG">#REF!,#REF!</definedName>
    <definedName name="BA_AM">#REF!</definedName>
    <definedName name="BA_XSS">#REF!</definedName>
    <definedName name="BAJADA">#REF!</definedName>
    <definedName name="Barra_Lisa_de_1_4">#REF!</definedName>
    <definedName name="BAS">#REF!</definedName>
    <definedName name="base">#REF!</definedName>
    <definedName name="Base_service">#REF!</definedName>
    <definedName name="base2">#REF!</definedName>
    <definedName name="_xlnm.Database">#REF!</definedName>
    <definedName name="basic">#REF!</definedName>
    <definedName name="bbbbbbbbbbbbbbb" localSheetId="2" hidden="1">{"'Edit'!$A$1:$V$2277"}</definedName>
    <definedName name="bbbbbbbbbbbbbbb" hidden="1">{"'Edit'!$A$1:$V$2277"}</definedName>
    <definedName name="BC">#REF!</definedName>
    <definedName name="BGC">#REF!</definedName>
    <definedName name="BGCANS">#REF!</definedName>
    <definedName name="BGCATS">#REF!</definedName>
    <definedName name="BGCI">#REF!</definedName>
    <definedName name="BGCQ">#REF!</definedName>
    <definedName name="BH_DeReg">#REF!</definedName>
    <definedName name="BH_NewReg">#REF!</definedName>
    <definedName name="BH_ReReg">#REF!</definedName>
    <definedName name="BH_Session_User">#REF!</definedName>
    <definedName name="BH_User_AS">#REF!</definedName>
    <definedName name="BH_User_CS">#REF!</definedName>
    <definedName name="BH_User_MS">#REF!</definedName>
    <definedName name="BH_User_PSTN">#REF!</definedName>
    <definedName name="BH_User_SC">#REF!</definedName>
    <definedName name="BHCA__half_calls__capacity_per_N_SC">#REF!</definedName>
    <definedName name="BHCA_Offered">#REF!</definedName>
    <definedName name="BHCA_SUB">#REF!</definedName>
    <definedName name="Bidlist">"List Box 6"</definedName>
    <definedName name="BIENES">#REF!</definedName>
    <definedName name="BIENES___0">#REF!</definedName>
    <definedName name="BIENES___1">#REF!</definedName>
    <definedName name="BIENES___10">#REF!</definedName>
    <definedName name="BIENES___11">#REF!</definedName>
    <definedName name="BIENES___12">#REF!</definedName>
    <definedName name="BIENES___2">#REF!</definedName>
    <definedName name="BIENES___3">#REF!</definedName>
    <definedName name="BIENES___4">#REF!</definedName>
    <definedName name="BIENES___5">#REF!</definedName>
    <definedName name="BIENES___6">#REF!</definedName>
    <definedName name="BIENES___7">#REF!</definedName>
    <definedName name="BlackWhite">#REF!</definedName>
    <definedName name="Block_de_vidrio_MODELO_OCEANICO_19x19x8">#REF!</definedName>
    <definedName name="BNALES">#REF!</definedName>
    <definedName name="BNALES___0">#REF!</definedName>
    <definedName name="BNALES___1">#REF!</definedName>
    <definedName name="BNALES___10">#REF!</definedName>
    <definedName name="BNALES___11">#REF!</definedName>
    <definedName name="BNALES___12">#REF!</definedName>
    <definedName name="BNALES___2">#REF!</definedName>
    <definedName name="BNALES___3">#REF!</definedName>
    <definedName name="BNALES___4">#REF!</definedName>
    <definedName name="BNALES___5">#REF!</definedName>
    <definedName name="BNALES___6">#REF!</definedName>
    <definedName name="BNALES___7">#REF!</definedName>
    <definedName name="Bolsa_de_Arena_Fina">#REF!</definedName>
    <definedName name="Bomba_PEDROLLO_1.5_HP">#REF!</definedName>
    <definedName name="Book_Value">#REF!</definedName>
    <definedName name="BORDER1">#REF!</definedName>
    <definedName name="BPSRate_Month">#REF!</definedName>
    <definedName name="BR_USD">#REF!</definedName>
    <definedName name="bridas">#REF!</definedName>
    <definedName name="BSC_LME">#REF!</definedName>
    <definedName name="BTS_1X">#REF!</definedName>
    <definedName name="BTS_1X_CarrierAdd">#REF!</definedName>
    <definedName name="BTS_1X_Software">#REF!</definedName>
    <definedName name="BTS_1XCarrierAdd_Software">#REF!</definedName>
    <definedName name="BTS_1XUpgrade_G16.1">#REF!</definedName>
    <definedName name="BTS_1XUpgrade_Software">#REF!</definedName>
    <definedName name="BTS_DataLicense">#REF!</definedName>
    <definedName name="BTS_IS95A_Software">#REF!</definedName>
    <definedName name="BTS_PBHUpgrade">#REF!</definedName>
    <definedName name="BTS_Price_G15">#REF!</definedName>
    <definedName name="BTS_s">#REF!</definedName>
    <definedName name="BTS_s2">#REF!</definedName>
    <definedName name="BTS2202FCA">#REF!</definedName>
    <definedName name="BTS2202FCAHW">#REF!</definedName>
    <definedName name="BTSMINI">#REF!</definedName>
    <definedName name="budget">#REF!</definedName>
    <definedName name="BUDGETYEAR">OFFSET([7]BudgetYears!$A$2,0,0,COUNTA([7]BudgetYears!$A:$A))</definedName>
    <definedName name="BuiltIn_Print_Area">#REF!</definedName>
    <definedName name="Bus_growth">#REF!</definedName>
    <definedName name="buscar">#REF!</definedName>
    <definedName name="Buscar2">#REF!</definedName>
    <definedName name="BuscarMerfi">#REF!</definedName>
    <definedName name="Bushing_CPVC_de_3_4_a_1_2">#REF!</definedName>
    <definedName name="C_Ctrl101">#REF!</definedName>
    <definedName name="C_Ctrl102">#REF!</definedName>
    <definedName name="C_Ctrl103">#REF!</definedName>
    <definedName name="C_Ctrl104">#REF!</definedName>
    <definedName name="C_Ctrl105">#REF!</definedName>
    <definedName name="C_Ctrl106">#REF!</definedName>
    <definedName name="C_Ctrl107">#REF!</definedName>
    <definedName name="C_Ctrl109">#REF!</definedName>
    <definedName name="C_Ctrl110">#REF!</definedName>
    <definedName name="C_Ctrl201">#REF!</definedName>
    <definedName name="C_Ctrl202">#REF!</definedName>
    <definedName name="C_Ctrl203">#REF!</definedName>
    <definedName name="C_Ctrl204">#REF!</definedName>
    <definedName name="C_Ctrl205">#REF!</definedName>
    <definedName name="C_Ctrl206">#REF!</definedName>
    <definedName name="C_Ctrl207">#REF!</definedName>
    <definedName name="C_Ctrl209">#REF!</definedName>
    <definedName name="C_Ctrl210">#REF!</definedName>
    <definedName name="C_Dev01">#REF!</definedName>
    <definedName name="C_Dev02">#REF!</definedName>
    <definedName name="C_Dev03">#REF!</definedName>
    <definedName name="C_Dev04">#REF!</definedName>
    <definedName name="C_Dev05">#REF!</definedName>
    <definedName name="C_Dev06">#REF!</definedName>
    <definedName name="C_Dev07">#REF!</definedName>
    <definedName name="C_Dev09">#REF!</definedName>
    <definedName name="C_Dev10">#REF!</definedName>
    <definedName name="C_Emerg01">#REF!</definedName>
    <definedName name="C_Emerg02">#REF!</definedName>
    <definedName name="C_Emerg03">#REF!</definedName>
    <definedName name="C_Emerg04">#REF!</definedName>
    <definedName name="C_Emerg05">#REF!</definedName>
    <definedName name="C_Emerg06">#REF!</definedName>
    <definedName name="C_Emerg07">#REF!</definedName>
    <definedName name="C_Emerg09">#REF!</definedName>
    <definedName name="C_Emerg10">#REF!</definedName>
    <definedName name="C_Fuerza01">#REF!</definedName>
    <definedName name="C_Fuerza02">#REF!</definedName>
    <definedName name="C_Fuerza03">#REF!</definedName>
    <definedName name="C_Fuerza04">#REF!</definedName>
    <definedName name="C_Fuerza05">#REF!</definedName>
    <definedName name="C_Fuerza06">#REF!</definedName>
    <definedName name="C_Fuerza07">#REF!</definedName>
    <definedName name="C_Fuerza09">#REF!</definedName>
    <definedName name="C_Fuerza10">#REF!</definedName>
    <definedName name="C_LLaveC01">#REF!</definedName>
    <definedName name="C_LLaveC02">#REF!</definedName>
    <definedName name="C_LLaveC03">#REF!</definedName>
    <definedName name="C_LLaveC04">#REF!</definedName>
    <definedName name="C_LLaveC05">#REF!</definedName>
    <definedName name="C_LLaveC06">#REF!</definedName>
    <definedName name="C_LLaveC07">#REF!</definedName>
    <definedName name="C_LLaveC09">#REF!</definedName>
    <definedName name="C_LLaveC10">#REF!</definedName>
    <definedName name="C_LLaveR01">#REF!</definedName>
    <definedName name="C_LLaveR02">#REF!</definedName>
    <definedName name="C_LLaveR03">#REF!</definedName>
    <definedName name="C_LLaveR04">#REF!</definedName>
    <definedName name="C_LLaveR05">#REF!</definedName>
    <definedName name="C_LLaveR06">#REF!</definedName>
    <definedName name="C_LLaveR07">#REF!</definedName>
    <definedName name="C_LLaveR09">#REF!</definedName>
    <definedName name="C_LLaveR10">#REF!</definedName>
    <definedName name="C_Md01">#REF!</definedName>
    <definedName name="C_Md02">#REF!</definedName>
    <definedName name="C_Md03">#REF!</definedName>
    <definedName name="C_Md04">#REF!</definedName>
    <definedName name="C_Md05">#REF!</definedName>
    <definedName name="C_Md06">#REF!</definedName>
    <definedName name="C_Md07">#REF!</definedName>
    <definedName name="C_Md09">#REF!</definedName>
    <definedName name="C_Md10">#REF!</definedName>
    <definedName name="C_P">#REF!</definedName>
    <definedName name="C_Pos01">#REF!</definedName>
    <definedName name="C_Pos02">#REF!</definedName>
    <definedName name="C_Pos03">#REF!</definedName>
    <definedName name="C_Pos04">#REF!</definedName>
    <definedName name="C_Pos05">#REF!</definedName>
    <definedName name="C_Pos06">#REF!</definedName>
    <definedName name="C_Pos07">#REF!</definedName>
    <definedName name="C_Pos09">#REF!</definedName>
    <definedName name="C_Pos10">#REF!</definedName>
    <definedName name="Cable_THW____50">#REF!</definedName>
    <definedName name="CABTS">#REF!</definedName>
    <definedName name="CAESP">#REF!</definedName>
    <definedName name="Caja_de_pase_12x12x4">#REF!</definedName>
    <definedName name="CALLH">#REF!</definedName>
    <definedName name="CALLH_E">#REF!</definedName>
    <definedName name="CALLW">#REF!</definedName>
    <definedName name="CALLW_E">#REF!</definedName>
    <definedName name="cambio">'[8]9618UH'!$R$3</definedName>
    <definedName name="CANALETA">#REF!</definedName>
    <definedName name="Canaleta_30x10">#REF!</definedName>
    <definedName name="cancel">#REF!</definedName>
    <definedName name="Cancel_Click">"Cancel_Click"</definedName>
    <definedName name="CAP">#REF!</definedName>
    <definedName name="CapacityYear0">#REF!</definedName>
    <definedName name="CAPATAZ_I">"TABLA1"</definedName>
    <definedName name="CAPU">#REF!</definedName>
    <definedName name="Car_Rental_Day__USD">#REF!</definedName>
    <definedName name="Car_Rental_Day__USD2">#REF!</definedName>
    <definedName name="CARPINT">#REF!</definedName>
    <definedName name="Carrete_de_ESTAÑO_PARA_COBRE">#REF!</definedName>
    <definedName name="CAS_modified_users">#REF!</definedName>
    <definedName name="cat">#REF!</definedName>
    <definedName name="CAT_G16.0_00">#REF!</definedName>
    <definedName name="CAT_G16.0_10">#REF!</definedName>
    <definedName name="CAT_G16.0_100">#REF!</definedName>
    <definedName name="CAT_G16.0_20">#REF!</definedName>
    <definedName name="CAT_G16.0_30">#REF!</definedName>
    <definedName name="CAT_G16.0_40">#REF!</definedName>
    <definedName name="CAT_G16.0_50">#REF!</definedName>
    <definedName name="CAT_G16.0_60">#REF!</definedName>
    <definedName name="CAT_G16.0_70">#REF!</definedName>
    <definedName name="CAT_G16.0_80">#REF!</definedName>
    <definedName name="CAT_G16.0_90">#REF!</definedName>
    <definedName name="CAT_G16.1_10">#REF!</definedName>
    <definedName name="CAT_G16.1_100">#REF!</definedName>
    <definedName name="CAT_G16.1_20">#REF!</definedName>
    <definedName name="CAT_G16.1_30">#REF!</definedName>
    <definedName name="CAT_G16.1_40">#REF!</definedName>
    <definedName name="CAT_G16.1_50">#REF!</definedName>
    <definedName name="CAT_G16.1_60">#REF!</definedName>
    <definedName name="CAT_G16.1_70">#REF!</definedName>
    <definedName name="CAT_G16.1_80">#REF!</definedName>
    <definedName name="CAT_G16.1_90">#REF!</definedName>
    <definedName name="CB">#REF!</definedName>
    <definedName name="CBSC_1800E">#REF!</definedName>
    <definedName name="CBSC_1800E_Software">#REF!</definedName>
    <definedName name="CBSCs">#REF!</definedName>
    <definedName name="Cc">#REF!</definedName>
    <definedName name="CCB">#REF!</definedName>
    <definedName name="CCB_E">#REF!</definedName>
    <definedName name="CCC">#REF!</definedName>
    <definedName name="cccccccccccccccc" localSheetId="2" hidden="1">{"HW",#N/A,FALSE,"1998"}</definedName>
    <definedName name="cccccccccccccccc" hidden="1">{"HW",#N/A,FALSE,"1998"}</definedName>
    <definedName name="CCD">#REF!</definedName>
    <definedName name="ccd_boards_501">#REF!</definedName>
    <definedName name="ccd_cw_ch">#REF!</definedName>
    <definedName name="ccd_cw_ch_traffic">#REF!</definedName>
    <definedName name="ccd_in">#REF!</definedName>
    <definedName name="ccd_in_traffic">#REF!</definedName>
    <definedName name="ccd_mpty">#REF!</definedName>
    <definedName name="ccd_mpty_traffic">#REF!</definedName>
    <definedName name="CDP">#REF!</definedName>
    <definedName name="CDP_E">#REF!</definedName>
    <definedName name="CDR_BHCA_to_24H_scaling_factor">#REF!</definedName>
    <definedName name="CDR_Day">#REF!</definedName>
    <definedName name="CDR_Request">#REF!</definedName>
    <definedName name="CDR_Required">#REF!</definedName>
    <definedName name="CE">#REF!</definedName>
    <definedName name="Celda1">#REF!</definedName>
    <definedName name="Celda10">#REF!</definedName>
    <definedName name="Celda11">#REF!</definedName>
    <definedName name="Celda12">#REF!</definedName>
    <definedName name="Celda13">#REF!</definedName>
    <definedName name="Celda2">#REF!</definedName>
    <definedName name="Celda3">#REF!</definedName>
    <definedName name="celda4">#REF!</definedName>
    <definedName name="Celda5">#REF!</definedName>
    <definedName name="Celda6">#REF!</definedName>
    <definedName name="Celda7">#REF!</definedName>
    <definedName name="Celda8">#REF!</definedName>
    <definedName name="Celda9">#REF!</definedName>
    <definedName name="CellperPOP">#REF!</definedName>
    <definedName name="Cemento_blanco">#REF!</definedName>
    <definedName name="Cen_Expo">#REF!</definedName>
    <definedName name="Cen_Vis">#REF!</definedName>
    <definedName name="CENTRAL">#REF!</definedName>
    <definedName name="central1">#REF!</definedName>
    <definedName name="CENTROS">#REF!</definedName>
    <definedName name="CERCO_AES">#REF!</definedName>
    <definedName name="CERCO_EST">#REF!</definedName>
    <definedName name="CERRADURAS">#REF!</definedName>
    <definedName name="CFB">#REF!</definedName>
    <definedName name="CFB_E">#REF!</definedName>
    <definedName name="cff">#REF!</definedName>
    <definedName name="CFN">#REF!</definedName>
    <definedName name="CFN_E">#REF!</definedName>
    <definedName name="CFU">#REF!</definedName>
    <definedName name="CFU_E">#REF!</definedName>
    <definedName name="CG">#REF!</definedName>
    <definedName name="ch2trx">#REF!</definedName>
    <definedName name="Charging">#REF!</definedName>
    <definedName name="CIF_Radios">#REF!</definedName>
    <definedName name="Cinta_aislante">#REF!</definedName>
    <definedName name="Cinta_MASKINGTAPE_de_1">#REF!</definedName>
    <definedName name="CIP">#REF!</definedName>
    <definedName name="CISCOOM">#REF!</definedName>
    <definedName name="CityLink_tab">#REF!</definedName>
    <definedName name="Clavos_de_1_2____1___2___3___4">#REF!</definedName>
    <definedName name="Client">#REF!</definedName>
    <definedName name="CLIENTE">#REF!</definedName>
    <definedName name="CLIP">#REF!</definedName>
    <definedName name="CLIP_E">#REF!</definedName>
    <definedName name="CLIR">#REF!</definedName>
    <definedName name="CLIR_E">#REF!</definedName>
    <definedName name="CLOSETS">#REF!</definedName>
    <definedName name="CM">#REF!</definedName>
    <definedName name="CNI">#REF!</definedName>
    <definedName name="Coberttura_de_Tecnoport_1____X_1.20_X_2.40">#REF!</definedName>
    <definedName name="COCINAS">#REF!</definedName>
    <definedName name="Codo">#REF!</definedName>
    <definedName name="COL_USD">#REF!</definedName>
    <definedName name="Cola_FULLER">#REF!</definedName>
    <definedName name="ColCount">#REF!</definedName>
    <definedName name="COLEGIO">#REF!</definedName>
    <definedName name="COLP">#REF!</definedName>
    <definedName name="COLP_E">#REF!</definedName>
    <definedName name="COLR">#REF!</definedName>
    <definedName name="COLR_E">#REF!</definedName>
    <definedName name="Columnas_sótano">#REF!</definedName>
    <definedName name="Columnas_tienda">#REF!</definedName>
    <definedName name="COMAS">#REF!</definedName>
    <definedName name="ComBid1">#REF!</definedName>
    <definedName name="ComBid1CurrCode">#REF!</definedName>
    <definedName name="ComBid1EvalTotal">#REF!</definedName>
    <definedName name="ComBid1LeadTime">#REF!</definedName>
    <definedName name="ComBid1Number">#REF!</definedName>
    <definedName name="ComBid1PayTerms">#REF!</definedName>
    <definedName name="ComBid1Penalty">#REF!</definedName>
    <definedName name="ComBid1PromiseDate">#REF!</definedName>
    <definedName name="ComBid1Rate">#REF!</definedName>
    <definedName name="ComBid1Retention">#REF!</definedName>
    <definedName name="ComBid1Total">#REF!</definedName>
    <definedName name="ComBid2">#REF!</definedName>
    <definedName name="ComBid2CurrCode">#REF!</definedName>
    <definedName name="ComBid2EvalTotal">#REF!</definedName>
    <definedName name="ComBid2LeadTime">#REF!</definedName>
    <definedName name="ComBid2Number">#REF!</definedName>
    <definedName name="ComBid2PayTerms">#REF!</definedName>
    <definedName name="ComBid2Penalty">#REF!</definedName>
    <definedName name="ComBid2PromiseDate">#REF!</definedName>
    <definedName name="ComBid2Rate">#REF!</definedName>
    <definedName name="ComBid2Retention">#REF!</definedName>
    <definedName name="ComBid2Total">#REF!</definedName>
    <definedName name="ComBid3">#REF!</definedName>
    <definedName name="ComBid3CurrCode">#REF!</definedName>
    <definedName name="ComBid3EvalTotal">#REF!</definedName>
    <definedName name="ComBid3LeadTime">#REF!</definedName>
    <definedName name="comBid3Number">#REF!</definedName>
    <definedName name="ComBid3PayTerms">#REF!</definedName>
    <definedName name="ComBid3Penalty">#REF!</definedName>
    <definedName name="ComBid3PromiseDate">#REF!</definedName>
    <definedName name="ComBid3Rate">#REF!</definedName>
    <definedName name="ComBid3Retention">#REF!</definedName>
    <definedName name="ComBid3Total">#REF!</definedName>
    <definedName name="ComBid4">#REF!</definedName>
    <definedName name="ComBid4CurrCode">#REF!</definedName>
    <definedName name="ComBid4EvalTotal">#REF!</definedName>
    <definedName name="ComBid4LeadTime">#REF!</definedName>
    <definedName name="ComBid4Number">#REF!</definedName>
    <definedName name="ComBid4PayTerms">#REF!</definedName>
    <definedName name="ComBid4Penalty">#REF!</definedName>
    <definedName name="ComBid4PromiseDate">#REF!</definedName>
    <definedName name="ComBid4Rate">#REF!</definedName>
    <definedName name="ComBid4Retention">#REF!</definedName>
    <definedName name="ComBid4Total">#REF!</definedName>
    <definedName name="ComBidRange">#REF!</definedName>
    <definedName name="COMEstAward_date">#REF!</definedName>
    <definedName name="Comit">#REF!</definedName>
    <definedName name="COMJob_Number">#REF!</definedName>
    <definedName name="COMMODITYCODE">OFFSET([7]Commodities!$A$2,0,0,COUNTA([7]Commodities!$A:$A))</definedName>
    <definedName name="CommPilot_modify_users">#REF!</definedName>
    <definedName name="COMMR_description">#REF!</definedName>
    <definedName name="COMMRNumber">#REF!</definedName>
    <definedName name="COMPACT_IMPRESS">#REF!</definedName>
    <definedName name="COMPACT_PRICE">#REF!</definedName>
    <definedName name="CompCode">#REF!</definedName>
    <definedName name="COMPE">#REF!</definedName>
    <definedName name="COMPI">#REF!</definedName>
    <definedName name="COMProject_Currency">#REF!</definedName>
    <definedName name="COMProject_name">#REF!</definedName>
    <definedName name="Conector_a_CAJA_SEL_de_1">#REF!</definedName>
    <definedName name="consum">#REF!</definedName>
    <definedName name="Contacto">#REF!</definedName>
    <definedName name="ContCheck">#REF!</definedName>
    <definedName name="Contratuerca_F_G">#REF!</definedName>
    <definedName name="convert">#REF!</definedName>
    <definedName name="COP_USD">#REF!</definedName>
    <definedName name="copusd">#REF!</definedName>
    <definedName name="CORE_EOS">#REF!</definedName>
    <definedName name="CORE_HELPDESK">#REF!</definedName>
    <definedName name="CORE_HELPDESK247">#REF!</definedName>
    <definedName name="CORE_REMOTEPROB">#REF!</definedName>
    <definedName name="CORE_SUPPORT_BASIC">#REF!</definedName>
    <definedName name="Coste_Medio_de_Recurso_Externo">#REF!</definedName>
    <definedName name="Coste_Medio_de_Recurso_Interno_A">#REF!</definedName>
    <definedName name="Coste_Medio_de_Recurso_Interno_B">#REF!</definedName>
    <definedName name="Coste_Medio_de_Recurso_Interno_C">#REF!</definedName>
    <definedName name="CosteAgente">#REF!</definedName>
    <definedName name="CosteFolletos">#REF!</definedName>
    <definedName name="CosteFormacion">#REF!</definedName>
    <definedName name="CosteIncenPropiedad">#REF!</definedName>
    <definedName name="CosteJefeproyecto">#REF!</definedName>
    <definedName name="CosteResponsable">#REF!</definedName>
    <definedName name="Costo_Financ">#REF!</definedName>
    <definedName name="cotas">#REF!</definedName>
    <definedName name="CoubicacionA">#REF!</definedName>
    <definedName name="CoubicacionB">#REF!</definedName>
    <definedName name="CoubicacionC">#REF!</definedName>
    <definedName name="Country">#REF!</definedName>
    <definedName name="CP">#REF!</definedName>
    <definedName name="CR">#REF!</definedName>
    <definedName name="CR_1">#REF!</definedName>
    <definedName name="CR_5">#REF!</definedName>
    <definedName name="cr_boards_501">#REF!</definedName>
    <definedName name="cr_circuits">#REF!</definedName>
    <definedName name="cr_traffic">#REF!</definedName>
    <definedName name="_xlnm.Criteria">#REF!</definedName>
    <definedName name="CS_5">#REF!</definedName>
    <definedName name="cs_boards">#REF!</definedName>
    <definedName name="cs_boards_dpa_501">#REF!</definedName>
    <definedName name="cs_boards_mobile_501">#REF!</definedName>
    <definedName name="cs_circuits_dpa">#REF!</definedName>
    <definedName name="cs_circuits_mobile">#REF!</definedName>
    <definedName name="cs_dpa_traffic">#REF!</definedName>
    <definedName name="CS_Max_User_Cap">#REF!</definedName>
    <definedName name="CS_Measured_Cap">#REF!</definedName>
    <definedName name="cs_mobile_traffic">#REF!</definedName>
    <definedName name="CS_Node">#REF!</definedName>
    <definedName name="CS_Offered_User_Cap">#REF!</definedName>
    <definedName name="CS_servers_required">#REF!</definedName>
    <definedName name="CSCF_cap">#REF!</definedName>
    <definedName name="CSCF_CDRs">#REF!</definedName>
    <definedName name="CSCF_DNS_Q">#REF!</definedName>
    <definedName name="CSCF_HSS_transactions">#REF!</definedName>
    <definedName name="CSCF_load_CPU">#REF!</definedName>
    <definedName name="CSCF_max_Maxi">#REF!</definedName>
    <definedName name="CSCF_max_Micro">#REF!</definedName>
    <definedName name="CSCF_max_Midi">#REF!</definedName>
    <definedName name="CSCF_max_Mini">#REF!</definedName>
    <definedName name="CSK_D">#REF!</definedName>
    <definedName name="cskd_boards">#REF!</definedName>
    <definedName name="cskd_circuits_dpa">#REF!</definedName>
    <definedName name="cskd_circuits_mobile">#REF!</definedName>
    <definedName name="cskd_dpa_traffic">#REF!</definedName>
    <definedName name="cskd_mob_traffic">#REF!</definedName>
    <definedName name="CSOs_generated">#REF!</definedName>
    <definedName name="csr_circuits_rec">#REF!</definedName>
    <definedName name="csr_circuits_send">#REF!</definedName>
    <definedName name="csr_drs_boards_501">#REF!</definedName>
    <definedName name="csr_drs_traffic">#REF!</definedName>
    <definedName name="CSRD_dpa">#REF!</definedName>
    <definedName name="CSRD_mobile">#REF!</definedName>
    <definedName name="CU_Cost">#REF!</definedName>
    <definedName name="Cuota">#REF!</definedName>
    <definedName name="Curr">#REF!</definedName>
    <definedName name="CURRENCYCODE">OFFSET([7]Currency!$A$2,0,0,COUNTA([7]Currency!$A:$A))</definedName>
    <definedName name="CURRENCYNAME">OFFSET([7]Currency!$B$2,0,0,COUNTA([7]Currency!$B:$B))</definedName>
    <definedName name="Curva_PVC_SAP_de_1_1_2">#REF!</definedName>
    <definedName name="D_Ctrl101">#REF!</definedName>
    <definedName name="D_Ctrl102">#REF!</definedName>
    <definedName name="D_Ctrl103">#REF!</definedName>
    <definedName name="D_Ctrl104">#REF!</definedName>
    <definedName name="D_Ctrl105">#REF!</definedName>
    <definedName name="D_Ctrl106">#REF!</definedName>
    <definedName name="D_Ctrl107">#REF!</definedName>
    <definedName name="D_Ctrl109">#REF!</definedName>
    <definedName name="D_Ctrl110">#REF!</definedName>
    <definedName name="D_Ctrl201">#REF!</definedName>
    <definedName name="D_Ctrl202">#REF!</definedName>
    <definedName name="D_Ctrl203">#REF!</definedName>
    <definedName name="D_Ctrl204">#REF!</definedName>
    <definedName name="D_Ctrl205">#REF!</definedName>
    <definedName name="D_Ctrl206">#REF!</definedName>
    <definedName name="D_Ctrl207">#REF!</definedName>
    <definedName name="D_Ctrl209">#REF!</definedName>
    <definedName name="D_Ctrl210">#REF!</definedName>
    <definedName name="D_Dev01">#REF!</definedName>
    <definedName name="D_Dev02">#REF!</definedName>
    <definedName name="D_Dev03">#REF!</definedName>
    <definedName name="D_Dev04">#REF!</definedName>
    <definedName name="D_Dev05">#REF!</definedName>
    <definedName name="D_Dev06">#REF!</definedName>
    <definedName name="D_Dev07">#REF!</definedName>
    <definedName name="D_Dev09">#REF!</definedName>
    <definedName name="D_Dev10">#REF!</definedName>
    <definedName name="D_Emerg01">#REF!</definedName>
    <definedName name="D_Emerg02">#REF!</definedName>
    <definedName name="D_Emerg03">#REF!</definedName>
    <definedName name="D_Emerg04">#REF!</definedName>
    <definedName name="D_Emerg05">#REF!</definedName>
    <definedName name="D_Emerg06">#REF!</definedName>
    <definedName name="D_Emerg07">#REF!</definedName>
    <definedName name="D_Emerg09">#REF!</definedName>
    <definedName name="D_Emerg10">#REF!</definedName>
    <definedName name="D_Fuerza01">#REF!</definedName>
    <definedName name="D_Fuerza02">#REF!</definedName>
    <definedName name="D_Fuerza03">#REF!</definedName>
    <definedName name="D_Fuerza04">#REF!</definedName>
    <definedName name="D_Fuerza05">#REF!</definedName>
    <definedName name="D_Fuerza06">#REF!</definedName>
    <definedName name="D_Fuerza07">#REF!</definedName>
    <definedName name="D_Fuerza09">#REF!</definedName>
    <definedName name="D_Fuerza10">#REF!</definedName>
    <definedName name="D_LLaveC01">#REF!</definedName>
    <definedName name="D_LLaveC02">#REF!</definedName>
    <definedName name="D_LLaveC03">#REF!</definedName>
    <definedName name="D_LLaveC04">#REF!</definedName>
    <definedName name="D_LLaveC05">#REF!</definedName>
    <definedName name="D_LLaveC06">#REF!</definedName>
    <definedName name="D_LLaveC07">#REF!</definedName>
    <definedName name="D_LLaveC09">#REF!</definedName>
    <definedName name="D_LLaveC10">#REF!</definedName>
    <definedName name="D_LLaveR01">#REF!</definedName>
    <definedName name="D_LLaveR02">#REF!</definedName>
    <definedName name="D_LLaveR03">#REF!</definedName>
    <definedName name="D_LLaveR04">#REF!</definedName>
    <definedName name="D_LLaveR05">#REF!</definedName>
    <definedName name="D_LLaveR06">#REF!</definedName>
    <definedName name="D_LLaveR07">#REF!</definedName>
    <definedName name="D_LLaveR09">#REF!</definedName>
    <definedName name="D_LLaveR10">#REF!</definedName>
    <definedName name="D_Md01">#REF!</definedName>
    <definedName name="D_Md02">#REF!</definedName>
    <definedName name="D_Md03">#REF!</definedName>
    <definedName name="D_Md04">#REF!</definedName>
    <definedName name="D_Md05">#REF!</definedName>
    <definedName name="D_Md06">#REF!</definedName>
    <definedName name="D_Md07">#REF!</definedName>
    <definedName name="D_Md09">#REF!</definedName>
    <definedName name="D_Md10">#REF!</definedName>
    <definedName name="D_Pos01">#REF!</definedName>
    <definedName name="D_Pos02">#REF!</definedName>
    <definedName name="D_Pos03">#REF!</definedName>
    <definedName name="D_Pos04">#REF!</definedName>
    <definedName name="D_Pos05">#REF!</definedName>
    <definedName name="D_Pos06">#REF!</definedName>
    <definedName name="D_Pos07">#REF!</definedName>
    <definedName name="D_Pos09">#REF!</definedName>
    <definedName name="D_Pos10">#REF!</definedName>
    <definedName name="DA">#REF!</definedName>
    <definedName name="DA_Hotel">#REF!</definedName>
    <definedName name="dada">#REF!</definedName>
    <definedName name="Dado_INTERRUPTOR_MAGIC">#REF!</definedName>
    <definedName name="DASDSA" localSheetId="2" hidden="1">{#N/A,#N/A,FALSE,"model"}</definedName>
    <definedName name="DASDSA" hidden="1">{#N/A,#N/A,FALSE,"model"}</definedName>
    <definedName name="date">#REF!</definedName>
    <definedName name="Days_in_Year">#REF!</definedName>
    <definedName name="Days_Month">#REF!</definedName>
    <definedName name="Days_Month2">#REF!</definedName>
    <definedName name="dbd">#REF!</definedName>
    <definedName name="dblConFabricacion">#REF!</definedName>
    <definedName name="dblConGalvanizado">#REF!</definedName>
    <definedName name="dblConGranallado">#REF!</definedName>
    <definedName name="dblConInsEsp">#REF!</definedName>
    <definedName name="dblConMonCob">#REF!</definedName>
    <definedName name="dblConMonEst">#REF!</definedName>
    <definedName name="dblConOtros">#REF!</definedName>
    <definedName name="dblConPintura">#REF!</definedName>
    <definedName name="dblEqaFabricacion">#REF!</definedName>
    <definedName name="dblEqaGalvanizado">#REF!</definedName>
    <definedName name="dblEqaGranallado">#REF!</definedName>
    <definedName name="dblEqaInsEsp">#REF!</definedName>
    <definedName name="dblEqaMonCob">#REF!</definedName>
    <definedName name="dblEqaMonEst">#REF!</definedName>
    <definedName name="dblEqaObrCiv">#REF!</definedName>
    <definedName name="dblEqaOtros">#REF!</definedName>
    <definedName name="dblEqaPintura">#REF!</definedName>
    <definedName name="dblEqpFabricacion">#REF!</definedName>
    <definedName name="dblEqpGalvanizado">#REF!</definedName>
    <definedName name="dblEqpGranallado">#REF!</definedName>
    <definedName name="dblEqpMonCob">#REF!</definedName>
    <definedName name="dblEqpMonEsp">#REF!</definedName>
    <definedName name="dblEqpMonEst">#REF!</definedName>
    <definedName name="dblEqpObrCiv">#REF!</definedName>
    <definedName name="dblEqpOtros">#REF!</definedName>
    <definedName name="dblEqpPintura">#REF!</definedName>
    <definedName name="dblGasObr">#REF!</definedName>
    <definedName name="dblManAcabados">#REF!</definedName>
    <definedName name="dblManCoberturas">#REF!</definedName>
    <definedName name="dblManFabricacion">#REF!</definedName>
    <definedName name="dblManGalvanizado">#REF!</definedName>
    <definedName name="dblManGraAre">#REF!</definedName>
    <definedName name="dblManInsElec">#REF!</definedName>
    <definedName name="dblManInsEsp">#REF!</definedName>
    <definedName name="dblManInsSan">#REF!</definedName>
    <definedName name="dblManMontaje">#REF!</definedName>
    <definedName name="dblManObrCiv">#REF!</definedName>
    <definedName name="dblManOtros">#REF!</definedName>
    <definedName name="dblManPintura">#REF!</definedName>
    <definedName name="dblMarCon">#REF!</definedName>
    <definedName name="dblMatAcabado">#REF!</definedName>
    <definedName name="dblMatAcero">#REF!</definedName>
    <definedName name="dblMatCerAcc">#REF!</definedName>
    <definedName name="dblMatCobAcc">#REF!</definedName>
    <definedName name="dblMatElectricos">#REF!</definedName>
    <definedName name="dblMatEspeciales">#REF!</definedName>
    <definedName name="dblMatHerraObra">#REF!</definedName>
    <definedName name="dblMatHerraPlanta">#REF!</definedName>
    <definedName name="dblMatLosCol">#REF!</definedName>
    <definedName name="dblMatMontaje">#REF!</definedName>
    <definedName name="dblMatObrCiv">#REF!</definedName>
    <definedName name="dblMatOtros">#REF!</definedName>
    <definedName name="dblMatPernos">#REF!</definedName>
    <definedName name="dblMatPintura">#REF!</definedName>
    <definedName name="dblMatRepuestos">#REF!</definedName>
    <definedName name="dblMatSanitarias">#REF!</definedName>
    <definedName name="dblMatSeguridad">#REF!</definedName>
    <definedName name="dblPesoTot">#REF!</definedName>
    <definedName name="dblSerAcabados">#REF!</definedName>
    <definedName name="dblSerAnclajes">#REF!</definedName>
    <definedName name="dblSerCobAcc">#REF!</definedName>
    <definedName name="dblSerCorDob">#REF!</definedName>
    <definedName name="dblSerCromado">#REF!</definedName>
    <definedName name="dblSerFabEsp">#REF!</definedName>
    <definedName name="dblSerGalZin">#REF!</definedName>
    <definedName name="dblSerIngExt">#REF!</definedName>
    <definedName name="dblSerIngInt">#REF!</definedName>
    <definedName name="dblSerInsEle">#REF!</definedName>
    <definedName name="dblSerInsEsp">#REF!</definedName>
    <definedName name="dblSerInsLos">#REF!</definedName>
    <definedName name="dblSerInsSan">#REF!</definedName>
    <definedName name="dblSerMantenimiento">#REF!</definedName>
    <definedName name="dblSerMaquinado">#REF!</definedName>
    <definedName name="dblSerMonCob">#REF!</definedName>
    <definedName name="dblSerMonEst">#REF!</definedName>
    <definedName name="dblSerObrCiv">#REF!</definedName>
    <definedName name="dblSerOtros">#REF!</definedName>
    <definedName name="dblSerPintura">#REF!</definedName>
    <definedName name="dblSerPruebas">#REF!</definedName>
    <definedName name="dblSerRolado">#REF!</definedName>
    <definedName name="dblSerRoscado">#REF!</definedName>
    <definedName name="dblTransporte">#REF!</definedName>
    <definedName name="dblUtilProy">#REF!</definedName>
    <definedName name="DC">#REF!</definedName>
    <definedName name="DC_MSH11C">#REF!</definedName>
    <definedName name="DC_SP_G">#REF!</definedName>
    <definedName name="DC_TM_PDH">#REF!</definedName>
    <definedName name="DCV">#REF!</definedName>
    <definedName name="DD">#REF!</definedName>
    <definedName name="DDDDDDDDDDDDDD" localSheetId="2" hidden="1">{#N/A,#N/A,FALSE,"Global by BU";#N/A,#N/A,FALSE,"U.S. by BU";#N/A,#N/A,FALSE,"Canada by BU";#N/A,#N/A,FALSE,"Europe by BU";#N/A,#N/A,FALSE,"Asia by BU";#N/A,#N/A,FALSE,"Cala by BU"}</definedName>
    <definedName name="DDDDDDDDDDDDDD" hidden="1">{#N/A,#N/A,FALSE,"Global by BU";#N/A,#N/A,FALSE,"U.S. by BU";#N/A,#N/A,FALSE,"Canada by BU";#N/A,#N/A,FALSE,"Europe by BU";#N/A,#N/A,FALSE,"Asia by BU";#N/A,#N/A,FALSE,"Cala by BU"}</definedName>
    <definedName name="DDI">#REF!</definedName>
    <definedName name="DDI_E">#REF!</definedName>
    <definedName name="DDP">#REF!</definedName>
    <definedName name="DDP___0">#REF!</definedName>
    <definedName name="DDP___1">#REF!</definedName>
    <definedName name="DDP___10">#REF!</definedName>
    <definedName name="DDP___11">#REF!</definedName>
    <definedName name="DDP___12">#REF!</definedName>
    <definedName name="DDP___2">#REF!</definedName>
    <definedName name="DDP___3">#REF!</definedName>
    <definedName name="DDP___4">#REF!</definedName>
    <definedName name="DDP___5">#REF!</definedName>
    <definedName name="DDP___6">#REF!</definedName>
    <definedName name="DDP___7">#REF!</definedName>
    <definedName name="DDU_DDP">#REF!</definedName>
    <definedName name="def_account">#REF!</definedName>
    <definedName name="def_B_answer">#REF!</definedName>
    <definedName name="def_BA_AM">#REF!</definedName>
    <definedName name="def_BA_XSS">#REF!</definedName>
    <definedName name="def_BAV5">#REF!</definedName>
    <definedName name="def_BGCANS">#REF!</definedName>
    <definedName name="def_BGCATS">#REF!</definedName>
    <definedName name="def_BGCI">#REF!</definedName>
    <definedName name="def_BGCQ">#REF!</definedName>
    <definedName name="def_BWL">#REF!</definedName>
    <definedName name="def_CC">#REF!</definedName>
    <definedName name="def_dbd">#REF!</definedName>
    <definedName name="def_Dim_Factor">#REF!</definedName>
    <definedName name="def_E_ba">#REF!</definedName>
    <definedName name="def_E_bgc">#REF!</definedName>
    <definedName name="def_E_bgcI">#REF!</definedName>
    <definedName name="def_E_bgcQ">#REF!</definedName>
    <definedName name="def_E_pots">#REF!</definedName>
    <definedName name="def_E_pra">#REF!</definedName>
    <definedName name="def_E_trunk">#REF!</definedName>
    <definedName name="def_eb">#REF!</definedName>
    <definedName name="def_IL_21211">#REF!</definedName>
    <definedName name="def_IL_21220">#REF!</definedName>
    <definedName name="def_IL_21225">#REF!</definedName>
    <definedName name="def_IL_21230">#REF!</definedName>
    <definedName name="def_incoming">#REF!</definedName>
    <definedName name="def_internal">#REF!</definedName>
    <definedName name="def_ISUP">#REF!</definedName>
    <definedName name="def_ITUP">#REF!</definedName>
    <definedName name="def_MFC">#REF!</definedName>
    <definedName name="def_mht_ba">#REF!</definedName>
    <definedName name="def_mht_bgc">#REF!</definedName>
    <definedName name="def_mht_bgcI">#REF!</definedName>
    <definedName name="def_mht_bgcQ">#REF!</definedName>
    <definedName name="def_mht_pots">#REF!</definedName>
    <definedName name="def_mht_pra">#REF!</definedName>
    <definedName name="def_mht_trunks">#REF!</definedName>
    <definedName name="def_N_subs">#REF!</definedName>
    <definedName name="def_N_trunks">#REF!</definedName>
    <definedName name="def_outgoing">#REF!</definedName>
    <definedName name="def_PM_inc">#REF!</definedName>
    <definedName name="def_PM_int">#REF!</definedName>
    <definedName name="def_PM_out">#REF!</definedName>
    <definedName name="def_PM_tran">#REF!</definedName>
    <definedName name="def_POTS">#REF!</definedName>
    <definedName name="def_POTSV5">#REF!</definedName>
    <definedName name="def_PRA_AM">#REF!</definedName>
    <definedName name="def_PRA_XSS">#REF!</definedName>
    <definedName name="def_transit">#REF!</definedName>
    <definedName name="def_TT_inc">#REF!</definedName>
    <definedName name="def_TT_int">#REF!</definedName>
    <definedName name="def_TT_out">#REF!</definedName>
    <definedName name="def_TT_tran">#REF!</definedName>
    <definedName name="def_UL_21211">#REF!</definedName>
    <definedName name="def_UL_21220">#REF!</definedName>
    <definedName name="def_UL_21225">#REF!</definedName>
    <definedName name="def_UL_21230">#REF!</definedName>
    <definedName name="def_unsuccessful">#REF!</definedName>
    <definedName name="default_leadtime">#REF!</definedName>
    <definedName name="Defest">#REF!</definedName>
    <definedName name="Desague_AUTOMATICO_DE_TINA_EN_PVC">#REF!</definedName>
    <definedName name="DescripcionEmision">#REF!</definedName>
    <definedName name="DEST_ART">#REF!</definedName>
    <definedName name="DetailsBid1">#REF!</definedName>
    <definedName name="DetailsBid2">#REF!</definedName>
    <definedName name="DetailsBid3">#REF!</definedName>
    <definedName name="DetailsBid4">#REF!</definedName>
    <definedName name="DetailsBidRange">#REF!</definedName>
    <definedName name="DF">#REF!</definedName>
    <definedName name="dfg">#REF!</definedName>
    <definedName name="dfg\">#REF!</definedName>
    <definedName name="dfn.list">OFFSET([5]!dfn.list.top,1,0):OFFSET([5]!dfn.list.bottom,-1,0)</definedName>
    <definedName name="dga" localSheetId="2" hidden="1">{#N/A,#N/A,FALSE,"$170M Cash";#N/A,#N/A,FALSE,"$250M Cash";#N/A,#N/A,FALSE,"$325M Cash"}</definedName>
    <definedName name="dga" hidden="1">{#N/A,#N/A,FALSE,"$170M Cash";#N/A,#N/A,FALSE,"$250M Cash";#N/A,#N/A,FALSE,"$325M Cash"}</definedName>
    <definedName name="DH">#REF!</definedName>
    <definedName name="DI_1">#REF!</definedName>
    <definedName name="DI_2">#REF!</definedName>
    <definedName name="DI0">#REF!</definedName>
    <definedName name="DI00">#REF!</definedName>
    <definedName name="Dia">#REF!</definedName>
    <definedName name="Diff.iAllowedDiff">#REF!</definedName>
    <definedName name="Diff.sPrevFilename">#REF!</definedName>
    <definedName name="DIG">#REF!</definedName>
    <definedName name="Dim_Factor">#REF!</definedName>
    <definedName name="Dim_N_CSCF_Proc">#REF!</definedName>
    <definedName name="Dim_N_CSCF_proc_challenge">#REF!</definedName>
    <definedName name="Dim_N_HSS_Proc">#REF!</definedName>
    <definedName name="DIS">#REF!</definedName>
    <definedName name="Disc_Mat_Inst">#REF!</definedName>
    <definedName name="Disc_Mux">#REF!</definedName>
    <definedName name="Disc_NMS_SW">#REF!</definedName>
    <definedName name="Disc_Operacion_asistida">#REF!</definedName>
    <definedName name="Disc_P.O._SW">#REF!</definedName>
    <definedName name="Disc_PO">#REF!</definedName>
    <definedName name="Disc_Radio">#REF!</definedName>
    <definedName name="Disc_Servicios">#REF!</definedName>
    <definedName name="Disc_Training">#REF!</definedName>
    <definedName name="Disco_de_CORTE_7">#REF!</definedName>
    <definedName name="discount">'[9]1641'!$T$52</definedName>
    <definedName name="DivCount">#REF!</definedName>
    <definedName name="DivisionInputArea">#REF!</definedName>
    <definedName name="Divisions">#REF!</definedName>
    <definedName name="DM">#REF!</definedName>
    <definedName name="DMC">#REF!</definedName>
    <definedName name="DMS">#REF!</definedName>
    <definedName name="DNS_Node">#REF!</definedName>
    <definedName name="DNS_Query_Req">#REF!</definedName>
    <definedName name="DNT">#REF!</definedName>
    <definedName name="DNTI">#REF!</definedName>
    <definedName name="DOA">#REF!</definedName>
    <definedName name="doc_no">#REF!</definedName>
    <definedName name="DocumentacionSITIO">#REF!</definedName>
    <definedName name="DocumentacionSURVEY">#REF!</definedName>
    <definedName name="documentador">#REF!</definedName>
    <definedName name="documentadorNONET">#REF!</definedName>
    <definedName name="dolar">#REF!</definedName>
    <definedName name="Dolar_Cop">#REF!</definedName>
    <definedName name="DP">#REF!</definedName>
    <definedName name="DRCDM">#REF!</definedName>
    <definedName name="DSC">#REF!</definedName>
    <definedName name="DSO">#REF!</definedName>
    <definedName name="DSP_Cards_AXC811">#REF!</definedName>
    <definedName name="DSP_Ports">#REF!</definedName>
    <definedName name="DT">#REF!</definedName>
    <definedName name="dta">#REF!</definedName>
    <definedName name="DTI">#REF!</definedName>
    <definedName name="dti_dev">#REF!</definedName>
    <definedName name="dti_traffic">#REF!</definedName>
    <definedName name="DTO1___0">#REF!</definedName>
    <definedName name="DTO1___1">#REF!</definedName>
    <definedName name="DTO1___10">#REF!</definedName>
    <definedName name="DTO1___11">#REF!</definedName>
    <definedName name="DTO1___12">#REF!</definedName>
    <definedName name="DTO1___2">#REF!</definedName>
    <definedName name="DTO1___3">#REF!</definedName>
    <definedName name="DTO1___4">#REF!</definedName>
    <definedName name="DTO1___5">#REF!</definedName>
    <definedName name="DTO1___6">#REF!</definedName>
    <definedName name="DTO1___7">#REF!</definedName>
    <definedName name="DTO2___0">#REF!</definedName>
    <definedName name="DTO2___1">#REF!</definedName>
    <definedName name="DTO2___10">#REF!</definedName>
    <definedName name="DTO2___11">#REF!</definedName>
    <definedName name="DTO2___12">#REF!</definedName>
    <definedName name="DTO2___2">#REF!</definedName>
    <definedName name="DTO2___3">#REF!</definedName>
    <definedName name="DTO2___4">#REF!</definedName>
    <definedName name="DTO2___5">#REF!</definedName>
    <definedName name="DTO2___6">#REF!</definedName>
    <definedName name="DTO2___7">#REF!</definedName>
    <definedName name="DZ">#REF!</definedName>
    <definedName name="E">#REF!</definedName>
    <definedName name="E_ba">#REF!</definedName>
    <definedName name="E_bgc">#REF!</definedName>
    <definedName name="E_bgc_A">#REF!</definedName>
    <definedName name="E_bgcI">#REF!</definedName>
    <definedName name="E_bgcQ">#REF!</definedName>
    <definedName name="E_inc">#REF!</definedName>
    <definedName name="E_int">#REF!</definedName>
    <definedName name="E_mail">#REF!</definedName>
    <definedName name="E_outg">#REF!</definedName>
    <definedName name="E_pots">#REF!</definedName>
    <definedName name="E_pra">#REF!</definedName>
    <definedName name="E_trans">#REF!</definedName>
    <definedName name="E_trunk">#REF!</definedName>
    <definedName name="EAR">#REF!</definedName>
    <definedName name="eb">#REF!</definedName>
    <definedName name="ebid_Lines_to_be_deleted">#REF!</definedName>
    <definedName name="Ebid_Reference">#REF!</definedName>
    <definedName name="ebid_template_category">#REF!</definedName>
    <definedName name="ebid_template_record">#REF!</definedName>
    <definedName name="EC">#REF!</definedName>
    <definedName name="ECC">#REF!</definedName>
    <definedName name="ECC___0">#REF!</definedName>
    <definedName name="ECC___1">#REF!</definedName>
    <definedName name="ECC___10">#REF!</definedName>
    <definedName name="ECC___11">#REF!</definedName>
    <definedName name="ECC___12">#REF!</definedName>
    <definedName name="ECC___2">#REF!</definedName>
    <definedName name="ECC___3">#REF!</definedName>
    <definedName name="ECC___4">#REF!</definedName>
    <definedName name="ECC___5">#REF!</definedName>
    <definedName name="ECC___6">#REF!</definedName>
    <definedName name="ECC___7">#REF!</definedName>
    <definedName name="ECP">#REF!</definedName>
    <definedName name="ecp_traffic">#REF!</definedName>
    <definedName name="ecp_units">#REF!</definedName>
    <definedName name="ECU">#N/A</definedName>
    <definedName name="EDML_Conclusion">#REF!</definedName>
    <definedName name="Educación" localSheetId="2" hidden="1">{"'IUM'!$Q$62"}</definedName>
    <definedName name="Educación" hidden="1">{"'IUM'!$Q$62"}</definedName>
    <definedName name="EE" localSheetId="2" hidden="1">{"'IUM'!$Q$62"}</definedName>
    <definedName name="EE" hidden="1">{"'IUM'!$Q$62"}</definedName>
    <definedName name="eerer">#REF!</definedName>
    <definedName name="EIT_AS_TP">#REF!</definedName>
    <definedName name="EIT_Users">#REF!</definedName>
    <definedName name="EM_HW">#REF!</definedName>
    <definedName name="EM_SW">#REF!</definedName>
    <definedName name="EMM_call_3WC">#REF!</definedName>
    <definedName name="EMM_call_H323_SIP">#REF!</definedName>
    <definedName name="EMM_call_NWC">#REF!</definedName>
    <definedName name="EMM_call_otherSIP_SIP">#REF!</definedName>
    <definedName name="EMM_call_PSTN_SIP">#REF!</definedName>
    <definedName name="EMM_call_SIP_H323">#REF!</definedName>
    <definedName name="EMM_call_SIP_otherSIP">#REF!</definedName>
    <definedName name="EMM_call_SIP_PSTN">#REF!</definedName>
    <definedName name="EMM_call_SIP_SIP">#REF!</definedName>
    <definedName name="EMM_Calls_Data">#REF!</definedName>
    <definedName name="EMM_IPCentrex_IPCentrex">#REF!</definedName>
    <definedName name="EMM_IPcentrex_IPPBX">#REF!</definedName>
    <definedName name="EMM_IPCentrex_PSTN_PBX">#REF!</definedName>
    <definedName name="EMM_IPPBX_IPCentrex">#REF!</definedName>
    <definedName name="EMM_IPPBX_IPPBX">#REF!</definedName>
    <definedName name="EMM_IPPBX_PSTNPBX">#REF!</definedName>
    <definedName name="EMM_PSTN_PBX_IP_PBX">#REF!</definedName>
    <definedName name="EMM_PSTN_PBX_IPCentrex">#REF!</definedName>
    <definedName name="EMM_PSTNPBX_PSTN_PBX">#REF!</definedName>
    <definedName name="EMM_T38fax">#REF!</definedName>
    <definedName name="EMMuser_Nconf">#REF!</definedName>
    <definedName name="Emplazamientos__Objetivo">#REF!</definedName>
    <definedName name="Emplazamientos_Rurales">#REF!</definedName>
    <definedName name="Emplazamientos_Urbanos">#REF!</definedName>
    <definedName name="Enterprise_traffic">#REF!</definedName>
    <definedName name="EQT.CODE">#REF!</definedName>
    <definedName name="EQT.H">#REF!</definedName>
    <definedName name="EQT.QTY">#REF!</definedName>
    <definedName name="EQT.VINTAGE">#REF!</definedName>
    <definedName name="EQUIPMENT.LIST">#REF!</definedName>
    <definedName name="equipo">#REF!</definedName>
    <definedName name="Equipo__Braquete1x40">#REF!</definedName>
    <definedName name="ERE_ART">#REF!</definedName>
    <definedName name="Erlang">#REF!</definedName>
    <definedName name="ERLANG1">#REF!</definedName>
    <definedName name="error_factor">#REF!</definedName>
    <definedName name="error_precio">#REF!</definedName>
    <definedName name="error_resumen">#REF!</definedName>
    <definedName name="ESMERALDAS">#REF!</definedName>
    <definedName name="ESPEJOS">#REF!</definedName>
    <definedName name="Estac_aéreo1">#REF!</definedName>
    <definedName name="Estac_aéreo2">#REF!</definedName>
    <definedName name="ESTRUCTURA">'[3]HR-TECNOCOM'!$D$19</definedName>
    <definedName name="ESTRUCTURAACARREO">'[3]HR-TECNOCOM'!$D$23</definedName>
    <definedName name="ESTRUCTURATRANSPORTE">'[3]HR-TECNOCOM'!$D$26</definedName>
    <definedName name="et155_used">#REF!</definedName>
    <definedName name="etc_a_bsc_trg">#REF!</definedName>
    <definedName name="etc_a_dpa">#REF!</definedName>
    <definedName name="etc_a_fix">#REF!</definedName>
    <definedName name="etc_a_fix_cas">#REF!</definedName>
    <definedName name="etc_a_fix_cas_trg">#REF!</definedName>
    <definedName name="etc_a_isdn2400">#REF!</definedName>
    <definedName name="etc_a_msc">#REF!</definedName>
    <definedName name="etc_a_msc_trg">#REF!</definedName>
    <definedName name="etc_a_pstn_trg">#REF!</definedName>
    <definedName name="etc_a_ssp">#REF!</definedName>
    <definedName name="etc_a_ssp_trg">#REF!</definedName>
    <definedName name="etc_a_total">#REF!</definedName>
    <definedName name="etc_a_tra">#REF!</definedName>
    <definedName name="etc_boards_bsc_1">#REF!</definedName>
    <definedName name="etc_boards_bsc_10">#REF!</definedName>
    <definedName name="etc_boards_bsc_2">#REF!</definedName>
    <definedName name="etc_boards_bsc_3">#REF!</definedName>
    <definedName name="etc_boards_bsc_4">#REF!</definedName>
    <definedName name="etc_boards_bsc_5">#REF!</definedName>
    <definedName name="etc_boards_bsc_6">#REF!</definedName>
    <definedName name="etc_boards_bsc_7">#REF!</definedName>
    <definedName name="etc_boards_bsc_8">#REF!</definedName>
    <definedName name="etc_boards_bsc_9">#REF!</definedName>
    <definedName name="etc_boards_bsc_trg">#REF!</definedName>
    <definedName name="etc_boards_cas_trg">#REF!</definedName>
    <definedName name="etc_boards_giwu">#REF!</definedName>
    <definedName name="etc_boards_msc_trg">#REF!</definedName>
    <definedName name="etc_boards_pstn_trg">#REF!</definedName>
    <definedName name="etc_boards_ssp_trg">#REF!</definedName>
    <definedName name="etc_boards_total">#REF!</definedName>
    <definedName name="etc_boards_tra">#REF!</definedName>
    <definedName name="ETC_BSC">#REF!</definedName>
    <definedName name="etc_bsc_traffic">#REF!</definedName>
    <definedName name="ETC_C7">#REF!</definedName>
    <definedName name="etc_c7_auc">#REF!</definedName>
    <definedName name="etc_c7_bsc">#REF!</definedName>
    <definedName name="etc_c7_eir">#REF!</definedName>
    <definedName name="etc_c7_fix">#REF!</definedName>
    <definedName name="etc_c7_fnr">#REF!</definedName>
    <definedName name="etc_c7_gmlc">#REF!</definedName>
    <definedName name="etc_c7_gmsc">#REF!</definedName>
    <definedName name="etc_c7_hlr">#REF!</definedName>
    <definedName name="etc_c7_msc">#REF!</definedName>
    <definedName name="etc_c7_msc_sgsn">#REF!</definedName>
    <definedName name="etc_c7_red">#REF!</definedName>
    <definedName name="etc_c7_sc">#REF!</definedName>
    <definedName name="etc_c7_scp">#REF!</definedName>
    <definedName name="etc_c7_sdp">#REF!</definedName>
    <definedName name="etc_c7_sgsn">#REF!</definedName>
    <definedName name="etc_c7_smlc">#REF!</definedName>
    <definedName name="etc_c7_ssp">#REF!</definedName>
    <definedName name="etc_c7_stp">#REF!</definedName>
    <definedName name="etc_c7_stp_auc">#REF!</definedName>
    <definedName name="etc_c7_stp_eir">#REF!</definedName>
    <definedName name="etc_c7_stp_fnr">#REF!</definedName>
    <definedName name="etc_c7_stp_hlr">#REF!</definedName>
    <definedName name="etc_c7_stp_msc">#REF!</definedName>
    <definedName name="etc_c7_stp_pstn">#REF!</definedName>
    <definedName name="etc_c7_stp_scp">#REF!</definedName>
    <definedName name="etc_c7_stp_sdp">#REF!</definedName>
    <definedName name="etc_c7_stp_sgsn">#REF!</definedName>
    <definedName name="etc_c7_stp_ssp">#REF!</definedName>
    <definedName name="etc_c7_stp_tra">#REF!</definedName>
    <definedName name="etc_c7_vm">#REF!</definedName>
    <definedName name="etc_dev_bsc_1">#REF!</definedName>
    <definedName name="etc_dev_bsc_10">#REF!</definedName>
    <definedName name="etc_dev_bsc_2">#REF!</definedName>
    <definedName name="etc_dev_bsc_3">#REF!</definedName>
    <definedName name="etc_dev_bsc_4">#REF!</definedName>
    <definedName name="etc_dev_bsc_5">#REF!</definedName>
    <definedName name="etc_dev_bsc_6">#REF!</definedName>
    <definedName name="etc_dev_bsc_7">#REF!</definedName>
    <definedName name="etc_dev_bsc_8">#REF!</definedName>
    <definedName name="etc_dev_bsc_9">#REF!</definedName>
    <definedName name="etc_dev_bsc_trg">#REF!</definedName>
    <definedName name="etc_dev_fix_1">#REF!</definedName>
    <definedName name="etc_dev_fix_1_cas">#REF!</definedName>
    <definedName name="etc_dev_fix_10">#REF!</definedName>
    <definedName name="etc_dev_fix_2">#REF!</definedName>
    <definedName name="etc_dev_fix_2_cas">#REF!</definedName>
    <definedName name="etc_dev_fix_3">#REF!</definedName>
    <definedName name="etc_dev_fix_3_cas">#REF!</definedName>
    <definedName name="etc_dev_fix_4">#REF!</definedName>
    <definedName name="etc_dev_fix_5">#REF!</definedName>
    <definedName name="etc_dev_fix_6">#REF!</definedName>
    <definedName name="etc_dev_fix_7">#REF!</definedName>
    <definedName name="etc_dev_fix_8">#REF!</definedName>
    <definedName name="etc_dev_fix_9">#REF!</definedName>
    <definedName name="etc_dev_fix_cas_trg">#REF!</definedName>
    <definedName name="etc_dev_msc_1">#REF!</definedName>
    <definedName name="etc_dev_msc_10">#REF!</definedName>
    <definedName name="etc_dev_msc_2">#REF!</definedName>
    <definedName name="etc_dev_msc_3">#REF!</definedName>
    <definedName name="etc_dev_msc_4">#REF!</definedName>
    <definedName name="etc_dev_msc_5">#REF!</definedName>
    <definedName name="etc_dev_msc_6">#REF!</definedName>
    <definedName name="etc_dev_msc_7">#REF!</definedName>
    <definedName name="etc_dev_msc_8">#REF!</definedName>
    <definedName name="etc_dev_msc_9">#REF!</definedName>
    <definedName name="etc_dev_msc_trg">#REF!</definedName>
    <definedName name="etc_dev_pstn_trg">#REF!</definedName>
    <definedName name="etc_dev_ssp_trg">#REF!</definedName>
    <definedName name="etc_dev_tra">#REF!</definedName>
    <definedName name="etc_dev_vm">#REF!</definedName>
    <definedName name="ETC_DPA">#REF!</definedName>
    <definedName name="ETC_FIX">#REF!</definedName>
    <definedName name="etc_fix_1">#REF!</definedName>
    <definedName name="etc_fix_1_cas">#REF!</definedName>
    <definedName name="etc_fix_10">#REF!</definedName>
    <definedName name="etc_fix_10_cas">#REF!</definedName>
    <definedName name="etc_fix_2">#REF!</definedName>
    <definedName name="etc_fix_3">#REF!</definedName>
    <definedName name="etc_fix_4">#REF!</definedName>
    <definedName name="etc_fix_5">#REF!</definedName>
    <definedName name="etc_fix_6">#REF!</definedName>
    <definedName name="etc_fix_7">#REF!</definedName>
    <definedName name="etc_fix_8">#REF!</definedName>
    <definedName name="etc_fix_9">#REF!</definedName>
    <definedName name="ETC_FIX_CAS">#REF!</definedName>
    <definedName name="etc_for_c7">#REF!</definedName>
    <definedName name="etc_isdn_pri">#REF!</definedName>
    <definedName name="etc_isdn_t1">#REF!</definedName>
    <definedName name="ETC_ISDN2400">#REF!</definedName>
    <definedName name="ETC_ISP">#REF!</definedName>
    <definedName name="ETC_MSC">#REF!</definedName>
    <definedName name="etc_msc_1">#REF!</definedName>
    <definedName name="etc_msc_10">#REF!</definedName>
    <definedName name="etc_msc_2">#REF!</definedName>
    <definedName name="etc_msc_3">#REF!</definedName>
    <definedName name="etc_msc_4">#REF!</definedName>
    <definedName name="etc_msc_5">#REF!</definedName>
    <definedName name="etc_msc_6">#REF!</definedName>
    <definedName name="etc_msc_7">#REF!</definedName>
    <definedName name="etc_msc_8">#REF!</definedName>
    <definedName name="etc_msc_9">#REF!</definedName>
    <definedName name="ETC_SSP">#REF!</definedName>
    <definedName name="ETC_VM">#REF!</definedName>
    <definedName name="etc_vm_traffic">#REF!</definedName>
    <definedName name="EUR_USD">#REF!</definedName>
    <definedName name="euro">#REF!</definedName>
    <definedName name="EURO_NOK">#REF!</definedName>
    <definedName name="EURO_RATE4">#REF!</definedName>
    <definedName name="EURO_USD">#REF!</definedName>
    <definedName name="Eval_Currency">#REF!</definedName>
    <definedName name="Evolve">#REF!</definedName>
    <definedName name="EX">#REF!</definedName>
    <definedName name="EXC">#REF!</definedName>
    <definedName name="Exc.rate_NOK_CHF">#REF!</definedName>
    <definedName name="Excel_BuiltIn_Print_Area_3_1">#REF!</definedName>
    <definedName name="Exch_name">#REF!</definedName>
    <definedName name="Exch_type">#REF!</definedName>
    <definedName name="Exito_Contratación_Rural">#REF!</definedName>
    <definedName name="Exito_Contratación_Urbana">#REF!</definedName>
    <definedName name="ExpbaseHW">#REF!</definedName>
    <definedName name="ExpbaseSW">#REF!</definedName>
    <definedName name="Exphw">#REF!</definedName>
    <definedName name="EXPORT">#REF!</definedName>
    <definedName name="ExportEuro">#REF!</definedName>
    <definedName name="EXW_FOB">#REF!</definedName>
    <definedName name="Fa__ksi">#REF!</definedName>
    <definedName name="Facto_SW">#REF!</definedName>
    <definedName name="Factor">#REF!</definedName>
    <definedName name="factor_dcn">#REF!</definedName>
    <definedName name="factor_energia">#REF!</definedName>
    <definedName name="Factor_Energía">#REF!</definedName>
    <definedName name="Factor_Entrenamiento">#REF!</definedName>
    <definedName name="Factor_Equipos">#REF!</definedName>
    <definedName name="Factor_Equipos_B">#REF!</definedName>
    <definedName name="Factor_Equipos_C">#REF!</definedName>
    <definedName name="Factor_Equipos_D">#REF!</definedName>
    <definedName name="factor_global">#REF!</definedName>
    <definedName name="factor_hw">#REF!</definedName>
    <definedName name="Factor_Instrumentos">#REF!</definedName>
    <definedName name="factor_local">#REF!</definedName>
    <definedName name="Factor_Mantenimiento">#REF!</definedName>
    <definedName name="Factor_Mat_Inst">#REF!</definedName>
    <definedName name="Factor_Mat_Inst_B">#REF!</definedName>
    <definedName name="Factor_Mat_Inst_Italia">#REF!</definedName>
    <definedName name="Factor_Mat_instalacion">#REF!</definedName>
    <definedName name="Factor_OP">#REF!</definedName>
    <definedName name="Factor_Propio__Suministros_Locales">#REF!</definedName>
    <definedName name="Factor_Propio__Suministros_Locales___0">#REF!</definedName>
    <definedName name="Factor_Propio__Suministros_Locales___1">#REF!</definedName>
    <definedName name="Factor_Propio__Suministros_Locales___10">#REF!</definedName>
    <definedName name="Factor_Propio__Suministros_Locales___11">#REF!</definedName>
    <definedName name="Factor_Propio__Suministros_Locales___12">#REF!</definedName>
    <definedName name="Factor_Propio__Suministros_Locales___2">#REF!</definedName>
    <definedName name="Factor_Propio__Suministros_Locales___3">#REF!</definedName>
    <definedName name="Factor_Propio__Suministros_Locales___4">#REF!</definedName>
    <definedName name="Factor_Propio__Suministros_Locales___5">#REF!</definedName>
    <definedName name="Factor_Propio__Suministros_Locales___6">#REF!</definedName>
    <definedName name="Factor_Propio__Suministros_Locales___7">#REF!</definedName>
    <definedName name="factor_ret_sw">#REF!</definedName>
    <definedName name="Factor_Servicio">#REF!</definedName>
    <definedName name="Factor_Servicios_Locales">#REF!</definedName>
    <definedName name="factor_sw">#REF!</definedName>
    <definedName name="Factor_tendido_fibra">#REF!</definedName>
    <definedName name="fare">#REF!</definedName>
    <definedName name="FCA_CPT">#REF!</definedName>
    <definedName name="FCA_DDP">#REF!</definedName>
    <definedName name="FCA_DDP_Antena">#REF!</definedName>
    <definedName name="FCA_DDP_Equipos">#REF!</definedName>
    <definedName name="FCA_Radios">#REF!</definedName>
    <definedName name="FechaEmision">#REF!</definedName>
    <definedName name="FEED">#REF!</definedName>
    <definedName name="FES_CAP">#REF!</definedName>
    <definedName name="FES_required">#REF!</definedName>
    <definedName name="fF">#REF!</definedName>
    <definedName name="fila_final">#REF!</definedName>
    <definedName name="Filename">#REF!</definedName>
    <definedName name="FinanceYear0">#REF!</definedName>
    <definedName name="fletes_externos">#REF!</definedName>
    <definedName name="fletes_internos">#REF!</definedName>
    <definedName name="FM">#REF!</definedName>
    <definedName name="FM_Subcontractor__USD_RBS_Year">#REF!</definedName>
    <definedName name="FM_Subcontractor__USD_RBS_Year2">#REF!</definedName>
    <definedName name="FN">#REF!</definedName>
    <definedName name="fnr_from_gmsc_total">#REF!</definedName>
    <definedName name="fnr2hlr_max">#REF!</definedName>
    <definedName name="fnr2hlr_out_total">#REF!</definedName>
    <definedName name="FOB_DDP">#REF!</definedName>
    <definedName name="FOB_EXW">#REF!</definedName>
    <definedName name="Foco_claro_100W">#REF!</definedName>
    <definedName name="FOLHA1">#REF!</definedName>
    <definedName name="FOLHA2">#REF!</definedName>
    <definedName name="FOLHA3">#REF!</definedName>
    <definedName name="FOLHA4">#REF!</definedName>
    <definedName name="FOLHA5">#REF!</definedName>
    <definedName name="FOLHA6">#REF!</definedName>
    <definedName name="FOLHA7">#REF!</definedName>
    <definedName name="Force_Processors">#REF!</definedName>
    <definedName name="form_cons" localSheetId="2">#REF!,#REF!,#REF!,#REF!,#REF!</definedName>
    <definedName name="form_cons">#REF!,#REF!,#REF!,#REF!,#REF!</definedName>
    <definedName name="form_desglose">#REF!,#REF!</definedName>
    <definedName name="form_equi" localSheetId="2">#REF!,#REF!,#REF!,#REF!,#REF!,#REF!,#REF!,#REF!,#REF!,#REF!,#REF!,#REF!,#REF!,#REF!,#REF!</definedName>
    <definedName name="form_equi">#REF!,#REF!,#REF!,#REF!,#REF!,#REF!,#REF!,#REF!,#REF!,#REF!,#REF!,#REF!,#REF!,#REF!,#REF!</definedName>
    <definedName name="form_otrosmod">#REF!,#REF!,#REF!,#REF!,#REF!,#REF!,#REF!,#REF!</definedName>
    <definedName name="form_resumen" localSheetId="2">#REF!,#REF!,#REF!,#REF!,#REF!,#REF!,#REF!,#REF!,#REF!,#REF!,#REF!</definedName>
    <definedName name="form_resumen">#REF!,#REF!,#REF!,#REF!,#REF!,#REF!,#REF!,#REF!,#REF!,#REF!,#REF!</definedName>
    <definedName name="form_subcon">#REF!,#REF!</definedName>
    <definedName name="FormA1">#REF!</definedName>
    <definedName name="Formador_empaquetadura_ADEX_secado_rapido">#REF!</definedName>
    <definedName name="Formalización_Contrato">#REF!</definedName>
    <definedName name="Formato">#REF!</definedName>
    <definedName name="FormB1">#REF!</definedName>
    <definedName name="FormB11">#REF!</definedName>
    <definedName name="FormB12">#REF!</definedName>
    <definedName name="fotos">#REF!</definedName>
    <definedName name="frec">#REF!</definedName>
    <definedName name="FREQ4">#REF!</definedName>
    <definedName name="frete69">[5]!frete69</definedName>
    <definedName name="funding">#REF!</definedName>
    <definedName name="funding___0">#REF!</definedName>
    <definedName name="FX">#REF!</definedName>
    <definedName name="Fy__ksi">#REF!</definedName>
    <definedName name="G">#REF!</definedName>
    <definedName name="garext__energia">#REF!</definedName>
    <definedName name="GBP_EURO">#REF!</definedName>
    <definedName name="GBP_USD">#REF!</definedName>
    <definedName name="GenDetail">#REF!</definedName>
    <definedName name="GG">#REF!</definedName>
    <definedName name="GGSN3.0_kpps">#REF!</definedName>
    <definedName name="GGSN3.0_PDP">#REF!</definedName>
    <definedName name="GGSN4.0_kpps">#REF!</definedName>
    <definedName name="GGSN4.0_PDP">#REF!</definedName>
    <definedName name="GGSN5.0_kpps">#REF!</definedName>
    <definedName name="GGSN5.0_PDP">#REF!</definedName>
    <definedName name="GI">#REF!</definedName>
    <definedName name="giwu_subunits_partial">#REF!</definedName>
    <definedName name="giwu_subunits_total">#REF!</definedName>
    <definedName name="giwu_traffic">#REF!</definedName>
    <definedName name="gl">[5]!volta_para_tela_principal</definedName>
    <definedName name="GMPV3">#REF!</definedName>
    <definedName name="gmsc2fnr_max">#REF!</definedName>
    <definedName name="gmsc2fnr_out_total">#REF!</definedName>
    <definedName name="GRIFERIA">#REF!</definedName>
    <definedName name="Group_Traffic">#REF!</definedName>
    <definedName name="GRPBTSSSW">#REF!</definedName>
    <definedName name="gs_pra_etc_hl">#REF!</definedName>
    <definedName name="gs_pra_rpg_nl">#REF!</definedName>
    <definedName name="gsn_traffic">#REF!</definedName>
    <definedName name="gss_anp">#REF!</definedName>
    <definedName name="gss_astd4">#REF!</definedName>
    <definedName name="gss_astdr">#REF!</definedName>
    <definedName name="gss_astv2">#REF!</definedName>
    <definedName name="gss_astv3">#REF!</definedName>
    <definedName name="gss_calc_gdm">#REF!</definedName>
    <definedName name="gss_ccd">#REF!</definedName>
    <definedName name="gss_cr">#REF!</definedName>
    <definedName name="gss_cs">#REF!</definedName>
    <definedName name="gss_cskd">#REF!</definedName>
    <definedName name="gss_csr">#REF!</definedName>
    <definedName name="gss_d">#REF!</definedName>
    <definedName name="gss_dlm">#REF!</definedName>
    <definedName name="gss_dti">#REF!</definedName>
    <definedName name="gss_ecp">#REF!</definedName>
    <definedName name="gss_etc">#REF!</definedName>
    <definedName name="gss_krdd">#REF!</definedName>
    <definedName name="GSS_MAG">#REF!</definedName>
    <definedName name="gss_pcd0">#REF!</definedName>
    <definedName name="gss_pcdd">#REF!</definedName>
    <definedName name="gss_ports">#REF!</definedName>
    <definedName name="gss_pra_jtc">#REF!</definedName>
    <definedName name="gss_pra_trh">#REF!</definedName>
    <definedName name="gss_spm_table">#REF!</definedName>
    <definedName name="gss_tcd">#REF!</definedName>
    <definedName name="gss_tg1">#REF!</definedName>
    <definedName name="gss_tsm_501">#REF!</definedName>
    <definedName name="gss_tsm1">#REF!</definedName>
    <definedName name="gss_tton">#REF!</definedName>
    <definedName name="GTT_s1">#REF!</definedName>
    <definedName name="GTT_s2">#REF!</definedName>
    <definedName name="GTT_s3">#REF!</definedName>
    <definedName name="GTT_s4">#REF!</definedName>
    <definedName name="GTT_s5">#REF!</definedName>
    <definedName name="GTT_s6">#REF!</definedName>
    <definedName name="GU">#REF!</definedName>
    <definedName name="h">#REF!</definedName>
    <definedName name="h_13">#REF!</definedName>
    <definedName name="h_14">#REF!</definedName>
    <definedName name="h_15">#REF!</definedName>
    <definedName name="h_16">#REF!</definedName>
    <definedName name="h_19">#REF!</definedName>
    <definedName name="h_5">#REF!</definedName>
    <definedName name="H323toSIP_Per">#REF!</definedName>
    <definedName name="HDDR">#REF!</definedName>
    <definedName name="he">#REF!</definedName>
    <definedName name="HELI">#REF!</definedName>
    <definedName name="hjadshjkashd">#N/A</definedName>
    <definedName name="hlr_from_fnr_total">#REF!</definedName>
    <definedName name="HLR_IMPRESS">#REF!</definedName>
    <definedName name="HLR_PRICE">#REF!</definedName>
    <definedName name="hlr2auc_inc_total">#REF!</definedName>
    <definedName name="hlr2auc_max">#REF!</definedName>
    <definedName name="hlr2auc_out_total">#REF!</definedName>
    <definedName name="hlr2hlr_inc_total">#REF!</definedName>
    <definedName name="hlr2hlr_max">#REF!</definedName>
    <definedName name="hlr2hlr_out_total">#REF!</definedName>
    <definedName name="hlr2sgsn_inc_total">#REF!</definedName>
    <definedName name="hlr2sgsn_max">#REF!</definedName>
    <definedName name="hlr2sgsn_out_total">#REF!</definedName>
    <definedName name="HMargin">#REF!</definedName>
    <definedName name="HOA">#REF!</definedName>
    <definedName name="home">#REF!</definedName>
    <definedName name="HotelINGENIERO">#REF!</definedName>
    <definedName name="HotelTECNICO">#REF!</definedName>
    <definedName name="Housing">#REF!</definedName>
    <definedName name="Housing_Day__USD">#REF!</definedName>
    <definedName name="Housing_DAY__USD2">#REF!</definedName>
    <definedName name="HSS_Capacity_data">#REF!</definedName>
    <definedName name="HSS_conf_crit">#REF!</definedName>
    <definedName name="HSS_config">#REF!</definedName>
    <definedName name="HSS_Confs">#REF!</definedName>
    <definedName name="HSS_Loadability">#REF!</definedName>
    <definedName name="HSS_max_Maxi">#REF!</definedName>
    <definedName name="HSS_max_Micro">#REF!</definedName>
    <definedName name="HSS_max_Midi">#REF!</definedName>
    <definedName name="HSS_max_Mini">#REF!</definedName>
    <definedName name="HSS_Needed_transactions">#REF!</definedName>
    <definedName name="HSS_transactions">#REF!</definedName>
    <definedName name="HT">#REF!</definedName>
    <definedName name="ht_mf_rs">#REF!</definedName>
    <definedName name="HTA">#REF!</definedName>
    <definedName name="HTML_CodePage" hidden="1">1252</definedName>
    <definedName name="HTML_Control" localSheetId="2" hidden="1">{"'IUM'!$Q$62"}</definedName>
    <definedName name="HTML_Control" hidden="1">{"'IUM'!$Q$62"}</definedName>
    <definedName name="HTML_Description" hidden="1">""</definedName>
    <definedName name="HTML_Email" hidden="1">""</definedName>
    <definedName name="HTML_Header" hidden="1">"IUM"</definedName>
    <definedName name="HTML_LastUpdate" hidden="1">"20/03/98"</definedName>
    <definedName name="HTML_LineAfter" hidden="1">FALSE</definedName>
    <definedName name="HTML_LineBefore" hidden="1">FALSE</definedName>
    <definedName name="HTML_Name" hidden="1">"ERICSSON TELECOMUNICAÇÕES S/A"</definedName>
    <definedName name="HTML_OBDlg2" hidden="1">TRUE</definedName>
    <definedName name="HTML_OBDlg4" hidden="1">TRUE</definedName>
    <definedName name="HTML_OS" hidden="1">0</definedName>
    <definedName name="HTML_PathFile" hidden="1">"U:\EDBMGU\MeuHTML.htm"</definedName>
    <definedName name="HTML_Title" hidden="1">"Mat-f_4B"</definedName>
    <definedName name="HTMLControl" localSheetId="2" hidden="1">{"'Edit'!$A$1:$V$2277"}</definedName>
    <definedName name="HTMLControl" hidden="1">{"'Edit'!$A$1:$V$2277"}</definedName>
    <definedName name="hu">#REF!</definedName>
    <definedName name="HWS_Warranty_Yes">#REF!</definedName>
    <definedName name="HWS_YearsOfContract">#REF!</definedName>
    <definedName name="HY">#REF!</definedName>
    <definedName name="I">#REF!</definedName>
    <definedName name="iAllowedDiff">#REF!</definedName>
    <definedName name="ICNI">#REF!</definedName>
    <definedName name="IdleLoad_21211">#REF!</definedName>
    <definedName name="IdleLoad_21220">#REF!</definedName>
    <definedName name="IdleLoad_21225">#REF!</definedName>
    <definedName name="IdleLoad_21230">#REF!</definedName>
    <definedName name="IE">#REF!</definedName>
    <definedName name="ILNI">#REF!</definedName>
    <definedName name="imp">#REF!</definedName>
    <definedName name="Impact">#REF!</definedName>
    <definedName name="IMPORTACIÓN">#REF!</definedName>
    <definedName name="importado">#REF!</definedName>
    <definedName name="ImprevistosINGENIERO">#REF!</definedName>
    <definedName name="ImprevistosTECNICO">#REF!</definedName>
    <definedName name="IN_22">#REF!</definedName>
    <definedName name="IN22_baseload">#REF!</definedName>
    <definedName name="IN22_complex">#REF!</definedName>
    <definedName name="IN22_extraload">#REF!</definedName>
    <definedName name="IN22_loadpertrans">#REF!</definedName>
    <definedName name="IN22_medium">#REF!</definedName>
    <definedName name="IN22_node">#REF!</definedName>
    <definedName name="IN22_simple">#REF!</definedName>
    <definedName name="IN22_vcomplex">#REF!</definedName>
    <definedName name="Incoming">#REF!</definedName>
    <definedName name="INCOTERMS">OFFSET([7]Incoterms!$A$2,0,0,COUNTA([7]Incoterms!$A:$A))</definedName>
    <definedName name="Ind">[10]Indice!$A$2</definedName>
    <definedName name="index">#REF!</definedName>
    <definedName name="indice">#REF!</definedName>
    <definedName name="Indice_Coocupación">#REF!</definedName>
    <definedName name="ingenieria">#REF!</definedName>
    <definedName name="Ingeniería">#REF!</definedName>
    <definedName name="IngenieroExtrang">#REF!</definedName>
    <definedName name="IngenieroNacional">#REF!</definedName>
    <definedName name="IngenieroSeniorNONET">#REF!</definedName>
    <definedName name="Instal">#REF!</definedName>
    <definedName name="INSTMATR_tab">[11]INSTMATR!#REF!</definedName>
    <definedName name="InstrumentosPC">#REF!</definedName>
    <definedName name="InstrumentosPDH">#REF!</definedName>
    <definedName name="InstrumentosSDH">#REF!</definedName>
    <definedName name="InstrumentosSURVEY">#REF!</definedName>
    <definedName name="Int._Flight_Tickets">#REF!</definedName>
    <definedName name="Int._Flight_Tickets2">#REF!</definedName>
    <definedName name="INTERCENTRAL">#REF!</definedName>
    <definedName name="Intercom__DISTRIBUIDOR_de_VIDEO">#REF!</definedName>
    <definedName name="Interest_Rate">#REF!</definedName>
    <definedName name="Internal">#REF!</definedName>
    <definedName name="Internal_Price_List__Export_">#REF!</definedName>
    <definedName name="Internal_Price_List__Export____0">#REF!</definedName>
    <definedName name="Internal_Price_List__Export____1">#REF!</definedName>
    <definedName name="Internal_Price_List__Export____10">#REF!</definedName>
    <definedName name="Internal_Price_List__Export____11">#REF!</definedName>
    <definedName name="Internal_Price_List__Export____12">#REF!</definedName>
    <definedName name="Internal_Price_List__Export____2">#REF!</definedName>
    <definedName name="Internal_Price_List__Export____3">#REF!</definedName>
    <definedName name="Internal_Price_List__Export____4">#REF!</definedName>
    <definedName name="Internal_Price_List__Export____5">#REF!</definedName>
    <definedName name="Internal_Price_List__Export____6">#REF!</definedName>
    <definedName name="Internal_Price_List__Export____7">#REF!</definedName>
    <definedName name="Interruptor__DOBLE_MODUS">#REF!</definedName>
    <definedName name="IntVoiceMail">#REF!</definedName>
    <definedName name="isp_mob_traffic">#REF!</definedName>
    <definedName name="isp_pra_traffic">#REF!</definedName>
    <definedName name="isp_stoc">#REF!</definedName>
    <definedName name="ISR_Eng_Cap">#REF!</definedName>
    <definedName name="ISR_MGC">#REF!</definedName>
    <definedName name="ISR_Ports_board">#REF!</definedName>
    <definedName name="Issue_Status">#REF!</definedName>
    <definedName name="ISUP">#REF!</definedName>
    <definedName name="isup_traffic">#REF!</definedName>
    <definedName name="ITEM12.RMP">'[12]1515'!#REF!</definedName>
    <definedName name="ITEM13.M1">'[12]1515'!#REF!</definedName>
    <definedName name="ITEM13.M10">'[12]1515'!#REF!</definedName>
    <definedName name="ITEM13.M3">'[12]1515'!#REF!</definedName>
    <definedName name="ITEM14.M12">'[12]1515'!#REF!</definedName>
    <definedName name="ITEM14.M13">'[12]1515'!#REF!</definedName>
    <definedName name="ITEM14.M14">'[12]1515'!#REF!</definedName>
    <definedName name="ITEM14.M15">'[12]1515'!#REF!</definedName>
    <definedName name="ITEM14.M16">'[12]1515'!#REF!</definedName>
    <definedName name="ITEM14.M2">'[12]1515'!#REF!</definedName>
    <definedName name="ITEM14.M3">'[12]1515'!#REF!</definedName>
    <definedName name="ITEM2.1.MUXM5">'[12]1515'!#REF!</definedName>
    <definedName name="ITEM2.2.M11">'[12]1515'!#REF!</definedName>
    <definedName name="ITEM2.2.M15">'[12]1515'!#REF!</definedName>
    <definedName name="ITEM2.2.M16">'[12]1515'!#REF!</definedName>
    <definedName name="ITEM2.2.M18">'[12]1515'!#REF!</definedName>
    <definedName name="ITEM2.2.M2">'[12]1515'!#REF!</definedName>
    <definedName name="ITEM2.2.M3">'[12]1515'!#REF!</definedName>
    <definedName name="ITEM2.2.M4">'[12]1515'!#REF!</definedName>
    <definedName name="ITEM2.2.M5">'[12]1515'!#REF!</definedName>
    <definedName name="ITEM2.2.M6">'[12]1515'!#REF!</definedName>
    <definedName name="ITEM2.2.M7">'[12]1515'!#REF!</definedName>
    <definedName name="ITEM2.2.M8">'[12]1515'!#REF!</definedName>
    <definedName name="ITEM2.2.M9">'[12]1515'!#REF!</definedName>
    <definedName name="ITEM2.2.MUXM1">'[12]1515'!#REF!</definedName>
    <definedName name="ITEM2.2.MUXM2">'[12]1515'!#REF!</definedName>
    <definedName name="ITEM2.2.MUXM3">'[12]1515'!#REF!</definedName>
    <definedName name="ITEM2.2.MUXM4">'[12]1515'!#REF!</definedName>
    <definedName name="ITEM2.2.MUXM5">'[12]1515'!#REF!</definedName>
    <definedName name="ITEM2.2.MUXM6">'[12]1515'!#REF!</definedName>
    <definedName name="ITEM2.2.PV">'[12]1515'!#REF!</definedName>
    <definedName name="ITEM2.2.RMP">'[12]1515'!#REF!</definedName>
    <definedName name="ITEM2.3">'[12]1515'!#REF!</definedName>
    <definedName name="ITEM2.3.M1">'[12]1515'!#REF!</definedName>
    <definedName name="ITEM2.3.M10">'[12]1515'!#REF!</definedName>
    <definedName name="ITEM2.3.M11">'[12]1515'!#REF!</definedName>
    <definedName name="ITEM2.3.M12">'[12]1515'!#REF!</definedName>
    <definedName name="ITEM2.3.M13">'[12]1515'!#REF!</definedName>
    <definedName name="ITEM2.3.M14">'[12]1515'!#REF!</definedName>
    <definedName name="ITEM2.3.M15">'[12]1515'!#REF!</definedName>
    <definedName name="ITEM2.3.M16">'[12]1515'!#REF!</definedName>
    <definedName name="ITEM2.3.M17">'[12]1515'!#REF!</definedName>
    <definedName name="ITEM2.3.M18">'[12]1515'!#REF!</definedName>
    <definedName name="ITEM2.3.M2">'[12]1515'!#REF!</definedName>
    <definedName name="ITEM2.3.M3">'[12]1515'!#REF!</definedName>
    <definedName name="ITEM2.3.M4">'[12]1515'!#REF!</definedName>
    <definedName name="ITEM2.3.M5">'[12]1515'!#REF!</definedName>
    <definedName name="ITEM2.3.M6">'[12]1515'!#REF!</definedName>
    <definedName name="ITEM2.3.M7">'[12]1515'!#REF!</definedName>
    <definedName name="ITEM2.3.M8">'[12]1515'!#REF!</definedName>
    <definedName name="ITEM2.3.M9">'[12]1515'!#REF!</definedName>
    <definedName name="ITEM2.3.MUXM1">'[12]1515'!#REF!</definedName>
    <definedName name="ITEM2.3.MUXM2">'[12]1515'!#REF!</definedName>
    <definedName name="ITEM2.3.MUXM3">'[12]1515'!#REF!</definedName>
    <definedName name="ITEM2.3.MUXM4">'[12]1515'!#REF!</definedName>
    <definedName name="ITEM2.3.MUXM5">'[12]1515'!#REF!</definedName>
    <definedName name="ITEM2.3.MUXM6">'[12]1515'!#REF!</definedName>
    <definedName name="ITEM2.3.PV">'[12]1515'!#REF!</definedName>
    <definedName name="ITEM2.3.RMP">'[12]1515'!#REF!</definedName>
    <definedName name="ITEM2.4">'[12]1515'!#REF!</definedName>
    <definedName name="ITEM2.4.M1">'[12]1515'!#REF!</definedName>
    <definedName name="ITEM2.4.M10">'[12]1515'!#REF!</definedName>
    <definedName name="ITEM2.4.M11">'[12]1515'!#REF!</definedName>
    <definedName name="ITEM2.4.M12">'[12]1515'!#REF!</definedName>
    <definedName name="ITEM2.4.M13">'[12]1515'!#REF!</definedName>
    <definedName name="ITEM2.4.M14">'[12]1515'!#REF!</definedName>
    <definedName name="ITEM2.4.M15">'[12]1515'!#REF!</definedName>
    <definedName name="ITEM2.4.M16">'[12]1515'!#REF!</definedName>
    <definedName name="ITEM2.4.M17">'[12]1515'!#REF!</definedName>
    <definedName name="ITEM2.4.M18">'[12]1515'!#REF!</definedName>
    <definedName name="ITEM2.4.M2">'[12]1515'!#REF!</definedName>
    <definedName name="ITEM2.4.M3">'[12]1515'!#REF!</definedName>
    <definedName name="ITEM2.4.M4">'[12]1515'!#REF!</definedName>
    <definedName name="ITEM2.4.M5">'[12]1515'!#REF!</definedName>
    <definedName name="ITEM2.4.M6">'[12]1515'!#REF!</definedName>
    <definedName name="ITEM2.4.M7">'[12]1515'!#REF!</definedName>
    <definedName name="ITEM2.4.M8">'[12]1515'!#REF!</definedName>
    <definedName name="ITEM2.4.M9">'[12]1515'!#REF!</definedName>
    <definedName name="ITEM2.4.MUXM1">'[12]1515'!#REF!</definedName>
    <definedName name="ITEM2.4.MUXM2">'[12]1515'!#REF!</definedName>
    <definedName name="ITEM2.4.MUXM3">'[12]1515'!#REF!</definedName>
    <definedName name="ITEM2.4.MUXM4">'[12]1515'!#REF!</definedName>
    <definedName name="ITEM2.4.MUXM5">'[12]1515'!#REF!</definedName>
    <definedName name="ITEM2.4.MUXM6">'[12]1515'!#REF!</definedName>
    <definedName name="ITEM2.4.PV">'[12]1515'!#REF!</definedName>
    <definedName name="ITEM2.4.RMP">'[12]1515'!#REF!</definedName>
    <definedName name="ITEM2.5">'[12]1515'!#REF!</definedName>
    <definedName name="ITEM2.5.M14">'[12]1515'!#REF!</definedName>
    <definedName name="ITEM2.5.M15">'[12]1515'!#REF!</definedName>
    <definedName name="ITEM2.5.M16">'[12]1515'!#REF!</definedName>
    <definedName name="ITEM2.5.M17">'[12]1515'!#REF!</definedName>
    <definedName name="ITEM2.5.M18">'[12]1515'!#REF!</definedName>
    <definedName name="ITEM2.5.MUXM4">'[12]1515'!#REF!</definedName>
    <definedName name="ITEM2.5.MUXM5">'[12]1515'!#REF!</definedName>
    <definedName name="ITEM2.5.MUXM6">'[12]1515'!#REF!</definedName>
    <definedName name="ITEM2.5.PV">'[12]1515'!#REF!</definedName>
    <definedName name="ITEM2.5.RMP">'[12]1515'!#REF!</definedName>
    <definedName name="ITEM3">'[12]1515'!#REF!</definedName>
    <definedName name="ITEM3.3">'[12]1515'!#REF!</definedName>
    <definedName name="ITEM3.3.MUXM1">'[12]1515'!#REF!</definedName>
    <definedName name="ITEM3.3.MUXM2">'[12]1515'!#REF!</definedName>
    <definedName name="ITEM3.3.MUXM3">'[12]1515'!#REF!</definedName>
    <definedName name="ITEM3.3.MUXM4">'[12]1515'!#REF!</definedName>
    <definedName name="ITEM3.3.MUXM5">'[12]1515'!#REF!</definedName>
    <definedName name="ITEM3.3.MUXM6">'[12]1515'!#REF!</definedName>
    <definedName name="ITEM3.3.PV">'[12]1515'!#REF!</definedName>
    <definedName name="ITEM3.3.RMP">'[12]1515'!#REF!</definedName>
    <definedName name="ITEM3.M1">'[12]1515'!#REF!</definedName>
    <definedName name="ITEM3.M10">'[12]1515'!#REF!</definedName>
    <definedName name="ITEM3.M11">'[12]1515'!#REF!</definedName>
    <definedName name="ITEM3.M12">'[12]1515'!#REF!</definedName>
    <definedName name="ITEM3.M13">'[12]1515'!#REF!</definedName>
    <definedName name="ITEM3.M14">'[12]1515'!#REF!</definedName>
    <definedName name="ITEM3.M15">'[12]1515'!#REF!</definedName>
    <definedName name="ITEM3.M16">'[12]1515'!#REF!</definedName>
    <definedName name="ITEM3.M17">'[12]1515'!#REF!</definedName>
    <definedName name="ITEM3.M18">'[12]1515'!#REF!</definedName>
    <definedName name="ITEM3.M2">'[12]1515'!#REF!</definedName>
    <definedName name="ITEM3.M3">'[12]1515'!#REF!</definedName>
    <definedName name="ITEM3.M4">'[12]1515'!#REF!</definedName>
    <definedName name="ITEM3.M5">'[12]1515'!#REF!</definedName>
    <definedName name="ITEM3.M6">'[12]1515'!#REF!</definedName>
    <definedName name="ITEM3.M7">'[12]1515'!#REF!</definedName>
    <definedName name="ITEM3.M8">'[12]1515'!#REF!</definedName>
    <definedName name="ITEM3.M9">'[12]1515'!#REF!</definedName>
    <definedName name="ITEM3.MUXM1">'[12]1515'!#REF!</definedName>
    <definedName name="ITEM3.MUXM2">'[12]1515'!#REF!</definedName>
    <definedName name="ITEM3.MUXM3">'[12]1515'!#REF!</definedName>
    <definedName name="ITEM3.MUXM4">'[12]1515'!#REF!</definedName>
    <definedName name="ITEM3.MUXM5">'[12]1515'!#REF!</definedName>
    <definedName name="ITEM3.MUXM6">'[12]1515'!#REF!</definedName>
    <definedName name="ITEM3.PV">'[12]1515'!#REF!</definedName>
    <definedName name="ITEM3.RMP">'[12]1515'!#REF!</definedName>
    <definedName name="ITEM4">'[12]1515'!#REF!</definedName>
    <definedName name="ITEM4.M1">'[12]1515'!#REF!</definedName>
    <definedName name="ITEM4.M10">'[12]1515'!#REF!</definedName>
    <definedName name="ITEM4.M11">'[12]1515'!#REF!</definedName>
    <definedName name="ITEM4.M12">'[12]1515'!#REF!</definedName>
    <definedName name="ITEM4.M13">'[12]1515'!#REF!</definedName>
    <definedName name="ITEM4.M14">'[12]1515'!#REF!</definedName>
    <definedName name="ITEM4.M15">'[12]1515'!#REF!</definedName>
    <definedName name="ITEM4.M16">'[12]1515'!#REF!</definedName>
    <definedName name="ITEM4.M17">'[12]1515'!#REF!</definedName>
    <definedName name="ITEM4.M18">'[12]1515'!#REF!</definedName>
    <definedName name="ITEM4.M2">'[12]1515'!#REF!</definedName>
    <definedName name="ITEM4.M3">'[12]1515'!#REF!</definedName>
    <definedName name="ITEM4.M4">'[12]1515'!#REF!</definedName>
    <definedName name="ITEM4.M5">'[12]1515'!#REF!</definedName>
    <definedName name="ITEM4.M6">'[12]1515'!#REF!</definedName>
    <definedName name="ITEM4.M7">'[12]1515'!#REF!</definedName>
    <definedName name="ITEM4.M8">'[12]1515'!#REF!</definedName>
    <definedName name="ITEM4.M9">'[12]1515'!#REF!</definedName>
    <definedName name="ITEM4.MUXM1">'[12]1515'!#REF!</definedName>
    <definedName name="ITEM4.MUXM2">'[12]1515'!#REF!</definedName>
    <definedName name="ITEM4.MUXM3">'[12]1515'!#REF!</definedName>
    <definedName name="ITEM4.MUXM4">'[12]1515'!#REF!</definedName>
    <definedName name="ITEM4.MUXM5">'[12]1515'!#REF!</definedName>
    <definedName name="ITEM4.MUXM6">'[12]1515'!#REF!</definedName>
    <definedName name="ITEM4.PV">'[12]1515'!#REF!</definedName>
    <definedName name="ITEM4.RMP">'[12]1515'!#REF!</definedName>
    <definedName name="ITEM5">'[12]1515'!#REF!</definedName>
    <definedName name="ITEM6.1">'[12]1515'!$A$62:$B$68</definedName>
    <definedName name="ITEM6.1.M1">'[12]1515'!$J$62:$J$68</definedName>
    <definedName name="ITEM6.1.M10">'[12]1515'!#REF!</definedName>
    <definedName name="ITEM6.1.M11">'[12]1515'!#REF!</definedName>
    <definedName name="ITEM6.1.M12">'[12]1515'!#REF!</definedName>
    <definedName name="ITEM6.1.M13">'[12]1515'!#REF!</definedName>
    <definedName name="ITEM6.1.M14">'[12]1515'!#REF!</definedName>
    <definedName name="ITEM6.1.M15">'[12]1515'!#REF!</definedName>
    <definedName name="ITEM6.1.M16">'[12]1515'!#REF!</definedName>
    <definedName name="ITEM6.1.M17">'[12]1515'!#REF!</definedName>
    <definedName name="ITEM6.1.M18">'[12]1515'!#REF!</definedName>
    <definedName name="ITEM6.1.M2">'[12]1515'!$K$62:$K$68</definedName>
    <definedName name="ITEM6.1.M3">'[12]1515'!$L$62:$L$68</definedName>
    <definedName name="ITEM6.1.M4">'[12]1515'!$M$62:$M$68</definedName>
    <definedName name="ITEM6.1.M5">'[12]1515'!$N$62:$N$68</definedName>
    <definedName name="ITEM6.1.M6">'[12]1515'!$O$62:$O$68</definedName>
    <definedName name="ITEM6.1.M7">'[12]1515'!#REF!</definedName>
    <definedName name="ITEM6.1.M8">'[12]1515'!#REF!</definedName>
    <definedName name="ITEM6.1.M9">'[12]1515'!#REF!</definedName>
    <definedName name="ITEM6.1.MUXM1">'[12]1515'!#REF!</definedName>
    <definedName name="ITEM6.1.MUXM2">'[12]1515'!#REF!</definedName>
    <definedName name="ITEM6.1.MUXM3">'[12]1515'!#REF!</definedName>
    <definedName name="ITEM6.1.MUXM4">'[12]1515'!#REF!</definedName>
    <definedName name="ITEM6.1.MUXM5">'[12]1515'!#REF!</definedName>
    <definedName name="ITEM6.1.MUXM6">'[12]1515'!#REF!</definedName>
    <definedName name="ITEM6.1.PV">'[12]1515'!$H$62:$H$68</definedName>
    <definedName name="ITEM6.1.RMP">'[12]1515'!#REF!</definedName>
    <definedName name="ITEM6.2">'[12]1515'!$A$69:$B$70</definedName>
    <definedName name="ITEM6.2.M1">'[12]1515'!$J$69:$J$70</definedName>
    <definedName name="ITEM6.2.M10">'[12]1515'!#REF!</definedName>
    <definedName name="ITEM6.2.M11">'[12]1515'!#REF!</definedName>
    <definedName name="ITEM6.2.M12">'[12]1515'!#REF!</definedName>
    <definedName name="ITEM6.2.M13">'[12]1515'!#REF!</definedName>
    <definedName name="ITEM6.2.M14">'[12]1515'!#REF!</definedName>
    <definedName name="ITEM6.2.M15">'[12]1515'!#REF!</definedName>
    <definedName name="ITEM6.2.M16">'[12]1515'!#REF!</definedName>
    <definedName name="ITEM6.2.M17">'[12]1515'!#REF!</definedName>
    <definedName name="ITEM6.2.M18">'[12]1515'!#REF!</definedName>
    <definedName name="ITEM6.2.M2">'[12]1515'!$K$69:$K$70</definedName>
    <definedName name="ITEM6.2.M3">'[12]1515'!$L$69:$L$70</definedName>
    <definedName name="ITEM6.2.M4">'[12]1515'!$M$69:$M$70</definedName>
    <definedName name="ITEM6.2.M5">'[12]1515'!$N$69:$N$70</definedName>
    <definedName name="ITEM6.2.M6">'[12]1515'!$O$69:$O$70</definedName>
    <definedName name="ITEM6.2.M7">'[12]1515'!#REF!</definedName>
    <definedName name="ITEM6.2.M8">'[12]1515'!#REF!</definedName>
    <definedName name="ITEM6.2.M9">'[12]1515'!#REF!</definedName>
    <definedName name="ITEM6.2.MUXM1">'[12]1515'!#REF!</definedName>
    <definedName name="ITEM6.2.MUXM2">'[12]1515'!#REF!</definedName>
    <definedName name="ITEM6.2.MUXM3">'[12]1515'!#REF!</definedName>
    <definedName name="ITEM6.2.MUXM4">'[12]1515'!#REF!</definedName>
    <definedName name="ITEM6.2.MUXM5">'[12]1515'!#REF!</definedName>
    <definedName name="ITEM6.2.MUXM6">'[12]1515'!#REF!</definedName>
    <definedName name="ITEM6.2.PV">'[12]1515'!$H$69:$H$70</definedName>
    <definedName name="ITEM6.2.RMP">'[12]1515'!#REF!</definedName>
    <definedName name="ITEM7.1">'[12]1515'!#REF!</definedName>
    <definedName name="ITEM7.1.M1">'[12]1515'!#REF!</definedName>
    <definedName name="ITEM7.1.M10">'[12]1515'!#REF!</definedName>
    <definedName name="ITEM7.1.M11">'[12]1515'!#REF!</definedName>
    <definedName name="ITEM7.1.M12">'[12]1515'!#REF!</definedName>
    <definedName name="ITEM7.1.M13">'[12]1515'!#REF!</definedName>
    <definedName name="ITEM7.1.M14">'[12]1515'!#REF!</definedName>
    <definedName name="ITEM7.1.M15">'[12]1515'!#REF!</definedName>
    <definedName name="ITEM7.1.M16">'[12]1515'!#REF!</definedName>
    <definedName name="ITEM7.1.M17">'[12]1515'!#REF!</definedName>
    <definedName name="ITEM7.1.M18">'[12]1515'!#REF!</definedName>
    <definedName name="ITEM7.1.M2">'[12]1515'!#REF!</definedName>
    <definedName name="ITEM7.1.M3">'[12]1515'!#REF!</definedName>
    <definedName name="ITEM7.1.M4">'[12]1515'!#REF!</definedName>
    <definedName name="ITEM7.1.M5">'[12]1515'!#REF!</definedName>
    <definedName name="ITEM7.1.M6">'[12]1515'!#REF!</definedName>
    <definedName name="ITEM7.1.M7">'[12]1515'!#REF!</definedName>
    <definedName name="ITEM7.1.M8">'[12]1515'!#REF!</definedName>
    <definedName name="ITEM7.1.M9">'[12]1515'!#REF!</definedName>
    <definedName name="ITEM7.1.MUXM1">'[12]1515'!#REF!</definedName>
    <definedName name="ITEM7.1.MUXM2">'[12]1515'!#REF!</definedName>
    <definedName name="ITEM7.1.MUXM3">'[12]1515'!#REF!</definedName>
    <definedName name="ITEM7.1.MUXM4">'[12]1515'!#REF!</definedName>
    <definedName name="ITEM7.1.MUXM5">'[12]1515'!#REF!</definedName>
    <definedName name="ITEM7.1.MUXM6">'[12]1515'!#REF!</definedName>
    <definedName name="ITEM7.1.PV">'[12]1515'!#REF!</definedName>
    <definedName name="ITEM7.1.RMP">'[12]1515'!#REF!</definedName>
    <definedName name="ITEM7.2">'[12]1515'!#REF!</definedName>
    <definedName name="ITEM7.2.M1">'[12]1515'!#REF!</definedName>
    <definedName name="ITEM7.2.M10">'[12]1515'!#REF!</definedName>
    <definedName name="ITEM7.2.M11">'[12]1515'!#REF!</definedName>
    <definedName name="ITEM7.2.M12">'[12]1515'!#REF!</definedName>
    <definedName name="ITEM7.2.M13">'[12]1515'!#REF!</definedName>
    <definedName name="ITEM7.2.M14">'[12]1515'!#REF!</definedName>
    <definedName name="ITEM7.2.M15">'[12]1515'!#REF!</definedName>
    <definedName name="ITEM7.2.M16">'[12]1515'!#REF!</definedName>
    <definedName name="ITEM7.2.M17">'[12]1515'!#REF!</definedName>
    <definedName name="ITEM7.2.M18">'[12]1515'!#REF!</definedName>
    <definedName name="ITEM7.2.M2">'[12]1515'!#REF!</definedName>
    <definedName name="ITEM7.2.M3">'[12]1515'!#REF!</definedName>
    <definedName name="ITEM7.2.M4">'[12]1515'!#REF!</definedName>
    <definedName name="ITEM7.2.M5">'[12]1515'!#REF!</definedName>
    <definedName name="ITEM7.2.M6">'[12]1515'!#REF!</definedName>
    <definedName name="ITEM7.2.M7">'[12]1515'!#REF!</definedName>
    <definedName name="ITEM7.2.M8">'[12]1515'!#REF!</definedName>
    <definedName name="ITEM7.2.M9">'[12]1515'!#REF!</definedName>
    <definedName name="ITEM7.2.MUXM1">'[12]1515'!#REF!</definedName>
    <definedName name="ITEM7.2.MUXM2">'[12]1515'!#REF!</definedName>
    <definedName name="ITEM7.2.MUXM3">'[12]1515'!#REF!</definedName>
    <definedName name="ITEM7.2.MUXM4">'[12]1515'!#REF!</definedName>
    <definedName name="ITEM7.2.MUXM5">'[12]1515'!#REF!</definedName>
    <definedName name="ITEM7.2.MUXM6">'[12]1515'!#REF!</definedName>
    <definedName name="ITEM7.2.PV">'[12]1515'!#REF!</definedName>
    <definedName name="ITEM7.2.RMP">'[12]1515'!#REF!</definedName>
    <definedName name="ITEM7.3">'[12]1515'!#REF!</definedName>
    <definedName name="ITEM7.3.M1">'[12]1515'!#REF!</definedName>
    <definedName name="ITEM7.3.M10">'[12]1515'!#REF!</definedName>
    <definedName name="ITEM7.3.M11">'[12]1515'!#REF!</definedName>
    <definedName name="ITEM7.3.M12">'[12]1515'!#REF!</definedName>
    <definedName name="ITEM7.3.M13">'[12]1515'!#REF!</definedName>
    <definedName name="ITEM7.3.M14">'[12]1515'!#REF!</definedName>
    <definedName name="ITEM7.3.M15">'[12]1515'!#REF!</definedName>
    <definedName name="ITEM7.3.M16">'[12]1515'!#REF!</definedName>
    <definedName name="ITEM7.3.M17">'[12]1515'!#REF!</definedName>
    <definedName name="ITEM7.3.M18">'[12]1515'!#REF!</definedName>
    <definedName name="ITEM7.3.M2">'[12]1515'!#REF!</definedName>
    <definedName name="ITEM7.3.M3">'[12]1515'!#REF!</definedName>
    <definedName name="ITEM7.3.M4">'[12]1515'!#REF!</definedName>
    <definedName name="ITEM7.3.M5">'[12]1515'!#REF!</definedName>
    <definedName name="ITEM7.3.M6">'[12]1515'!#REF!</definedName>
    <definedName name="ITEM7.3.M7">'[12]1515'!#REF!</definedName>
    <definedName name="ITEM7.3.M8">'[12]1515'!#REF!</definedName>
    <definedName name="ITEM7.3.M9">'[12]1515'!#REF!</definedName>
    <definedName name="ITEM7.3.MUXM1">'[12]1515'!#REF!</definedName>
    <definedName name="ITEM7.3.MUXM2">'[12]1515'!#REF!</definedName>
    <definedName name="ITEM7.3.MUXM3">'[12]1515'!#REF!</definedName>
    <definedName name="ITEM7.3.MUXM4">'[12]1515'!#REF!</definedName>
    <definedName name="ITEM7.3.MUXM5">'[12]1515'!#REF!</definedName>
    <definedName name="ITEM7.3.MUXM6">'[12]1515'!#REF!</definedName>
    <definedName name="ITEM7.3.PV">'[12]1515'!#REF!</definedName>
    <definedName name="ITEM7.3.RMP">'[12]1515'!#REF!</definedName>
    <definedName name="ITEM7.4">'[12]1515'!#REF!</definedName>
    <definedName name="ITEM7.4.M1">'[12]1515'!#REF!</definedName>
    <definedName name="ITEM7.4.M10">'[12]1515'!#REF!</definedName>
    <definedName name="ITEM7.4.M11">'[12]1515'!#REF!</definedName>
    <definedName name="ITEM7.4.M12">'[12]1515'!#REF!</definedName>
    <definedName name="ITEM7.4.M13">'[12]1515'!#REF!</definedName>
    <definedName name="ITEM7.4.M14">'[12]1515'!#REF!</definedName>
    <definedName name="ITEM7.4.M15">'[12]1515'!#REF!</definedName>
    <definedName name="ITEM7.4.M16">'[12]1515'!#REF!</definedName>
    <definedName name="ITEM7.4.M17">'[12]1515'!#REF!</definedName>
    <definedName name="ITEM7.4.M18">'[12]1515'!#REF!</definedName>
    <definedName name="ITEM7.4.M2">'[12]1515'!#REF!</definedName>
    <definedName name="ITEM7.4.M3">'[12]1515'!#REF!</definedName>
    <definedName name="ITEM7.4.M4">'[12]1515'!#REF!</definedName>
    <definedName name="ITEM7.4.M5">'[12]1515'!#REF!</definedName>
    <definedName name="ITEM7.4.M6">'[12]1515'!#REF!</definedName>
    <definedName name="ITEM7.4.M7">'[12]1515'!#REF!</definedName>
    <definedName name="ITEM7.4.M8">'[12]1515'!#REF!</definedName>
    <definedName name="ITEM7.4.M9">'[12]1515'!#REF!</definedName>
    <definedName name="ITEM7.4.MUXM1">'[12]1515'!#REF!</definedName>
    <definedName name="ITEM7.4.MUXM2">'[12]1515'!#REF!</definedName>
    <definedName name="ITEM7.4.MUXM3">'[12]1515'!#REF!</definedName>
    <definedName name="ITEM7.4.MUXM4">'[12]1515'!#REF!</definedName>
    <definedName name="ITEM7.4.MUXM5">'[12]1515'!#REF!</definedName>
    <definedName name="ITEM7.4.MUXM6">'[12]1515'!#REF!</definedName>
    <definedName name="ITEM7.4.PV">'[12]1515'!#REF!</definedName>
    <definedName name="ITEM7.4.RMP">'[12]1515'!#REF!</definedName>
    <definedName name="ITEM8">'[12]1515'!#REF!</definedName>
    <definedName name="ITEM8.M1">'[12]1515'!#REF!</definedName>
    <definedName name="ITEM8.M10">'[12]1515'!#REF!</definedName>
    <definedName name="ITEM8.M11">'[12]1515'!#REF!</definedName>
    <definedName name="ITEM8.M12">'[12]1515'!#REF!</definedName>
    <definedName name="ITEM8.M13">'[12]1515'!#REF!</definedName>
    <definedName name="ITEM8.M14">'[12]1515'!#REF!</definedName>
    <definedName name="ITEM8.M15">'[12]1515'!#REF!</definedName>
    <definedName name="ITEM8.M16">'[12]1515'!#REF!</definedName>
    <definedName name="ITEM8.M17">'[12]1515'!#REF!</definedName>
    <definedName name="ITEM8.M18">'[12]1515'!#REF!</definedName>
    <definedName name="ITEM8.M2">'[12]1515'!#REF!</definedName>
    <definedName name="ITEM8.M3">'[12]1515'!#REF!</definedName>
    <definedName name="ITEM8.M4">'[12]1515'!#REF!</definedName>
    <definedName name="ITEM8.M5">'[12]1515'!#REF!</definedName>
    <definedName name="ITEM8.M6">'[12]1515'!#REF!</definedName>
    <definedName name="ITEM8.M7">'[12]1515'!#REF!</definedName>
    <definedName name="ITEM8.M8">'[12]1515'!#REF!</definedName>
    <definedName name="ITEM8.M9">'[12]1515'!#REF!</definedName>
    <definedName name="ITEM8.MUXM1">'[12]1515'!#REF!</definedName>
    <definedName name="ITEM8.MUXM2">'[12]1515'!#REF!</definedName>
    <definedName name="ITEM8.MUXM3">'[12]1515'!#REF!</definedName>
    <definedName name="ITEM8.MUXM4">'[12]1515'!#REF!</definedName>
    <definedName name="ITEM8.MUXM5">'[12]1515'!#REF!</definedName>
    <definedName name="ITEM8.MUXM6">'[12]1515'!#REF!</definedName>
    <definedName name="ITEM8.PV">'[12]1515'!#REF!</definedName>
    <definedName name="ITEM8.RMP">'[12]1515'!#REF!</definedName>
    <definedName name="ITEM9">'[12]1515'!#REF!</definedName>
    <definedName name="ITUP">#REF!</definedName>
    <definedName name="IVA">#REF!</definedName>
    <definedName name="IVA_bienes_importados">#REF!</definedName>
    <definedName name="J">#REF!</definedName>
    <definedName name="Janne">#REF!</definedName>
    <definedName name="janne2">#REF!</definedName>
    <definedName name="JAPON">#REF!</definedName>
    <definedName name="JApPON">#REF!</definedName>
    <definedName name="JJ">#REF!</definedName>
    <definedName name="JM">#REF!</definedName>
    <definedName name="jtc_integer">#REF!</definedName>
    <definedName name="K">#REF!</definedName>
    <definedName name="K_1">'[12]1515'!#REF!</definedName>
    <definedName name="K_2">'[12]1515'!#REF!</definedName>
    <definedName name="k_bsc_hsl">#REF!</definedName>
    <definedName name="k_fnr_hlr_hsl">#REF!</definedName>
    <definedName name="k_gmsc_fnr_hsl">#REF!</definedName>
    <definedName name="k_gmsc_hlr_hsl">#REF!</definedName>
    <definedName name="k_hlr_auc_hsl">#REF!</definedName>
    <definedName name="k_hlr_hlr_hsl">#REF!</definedName>
    <definedName name="k_hlr_sgsn_hsl">#REF!</definedName>
    <definedName name="K_IF">'[12]1515'!#REF!</definedName>
    <definedName name="K_L">'[12]1515'!#REF!</definedName>
    <definedName name="k_msc_eir_hsl">#REF!</definedName>
    <definedName name="k_msc_hsl">#REF!</definedName>
    <definedName name="k_msc_ssp_hsl">#REF!</definedName>
    <definedName name="k_msc_vm_sc_hsl">#REF!</definedName>
    <definedName name="k_rnc">#REF!</definedName>
    <definedName name="K_S">'[12]1515'!#REF!</definedName>
    <definedName name="k_ssp_scp_hsl">#REF!</definedName>
    <definedName name="kadm">[13]COEFF!$D$11</definedName>
    <definedName name="Kcable">#REF!</definedName>
    <definedName name="KD">'[12]1515'!#REF!</definedName>
    <definedName name="KL">#N/A</definedName>
    <definedName name="kL_r_max">#REF!</definedName>
    <definedName name="kL_rx">#REF!</definedName>
    <definedName name="kL_rz">#REF!</definedName>
    <definedName name="Km">#REF!</definedName>
    <definedName name="kmargen">#REF!</definedName>
    <definedName name="kmi">#REF!</definedName>
    <definedName name="KPOW">[14]COEFF!$D$16</definedName>
    <definedName name="KR">#REF!</definedName>
    <definedName name="KRDD">#REF!</definedName>
    <definedName name="krdd_circuits">#REF!</definedName>
    <definedName name="krdd_traffic">#REF!</definedName>
    <definedName name="KSDH">'[12]1515'!#REF!</definedName>
    <definedName name="Kt">#REF!</definedName>
    <definedName name="Ktbat">#REF!</definedName>
    <definedName name="Ktinverter">#REF!</definedName>
    <definedName name="KTOT">'[8]9618UH'!$R$5</definedName>
    <definedName name="kx">#REF!</definedName>
    <definedName name="kz">#REF!</definedName>
    <definedName name="la_gsm">#REF!</definedName>
    <definedName name="Ladrillo_kk_18_huecos">#REF!</definedName>
    <definedName name="Laufzeit1">#REF!</definedName>
    <definedName name="Laufzeit1___0">#REF!</definedName>
    <definedName name="Laufzeit1___1">#REF!</definedName>
    <definedName name="Laufzeit1___10">#REF!</definedName>
    <definedName name="Laufzeit1___11">#REF!</definedName>
    <definedName name="Laufzeit1___12">#REF!</definedName>
    <definedName name="Laufzeit1___2">#REF!</definedName>
    <definedName name="Laufzeit1___3">#REF!</definedName>
    <definedName name="Laufzeit1___4">#REF!</definedName>
    <definedName name="Laufzeit1___5">#REF!</definedName>
    <definedName name="Laufzeit1___6">#REF!</definedName>
    <definedName name="Laufzeit1___7">#REF!</definedName>
    <definedName name="Laufzeit2">#REF!</definedName>
    <definedName name="Laufzeit2___0">#REF!</definedName>
    <definedName name="Laufzeit2___1">#REF!</definedName>
    <definedName name="Laufzeit2___10">#REF!</definedName>
    <definedName name="Laufzeit2___11">#REF!</definedName>
    <definedName name="Laufzeit2___12">#REF!</definedName>
    <definedName name="Laufzeit2___2">#REF!</definedName>
    <definedName name="Laufzeit2___3">#REF!</definedName>
    <definedName name="Laufzeit2___4">#REF!</definedName>
    <definedName name="Laufzeit2___5">#REF!</definedName>
    <definedName name="Laufzeit2___6">#REF!</definedName>
    <definedName name="Laufzeit2___7">#REF!</definedName>
    <definedName name="Laundry_Day__USD">#REF!</definedName>
    <definedName name="Laundry_Day__USD2">#REF!</definedName>
    <definedName name="Lave_TERMICA_de_3_x_20_amp_SIEMENS">#REF!</definedName>
    <definedName name="LGIN">#REF!</definedName>
    <definedName name="LGIN___0">#REF!</definedName>
    <definedName name="LGIN___1">#REF!</definedName>
    <definedName name="LGIN___10">#REF!</definedName>
    <definedName name="LGIN___11">#REF!</definedName>
    <definedName name="LGIN___12">#REF!</definedName>
    <definedName name="LGIN___2">#REF!</definedName>
    <definedName name="LGIN___3">#REF!</definedName>
    <definedName name="LGIN___4">#REF!</definedName>
    <definedName name="LGIN___5">#REF!</definedName>
    <definedName name="LGIN___6">#REF!</definedName>
    <definedName name="LGIN___7">#REF!</definedName>
    <definedName name="LGMR">#REF!</definedName>
    <definedName name="LGMR___0">#REF!</definedName>
    <definedName name="LGMR___1">#REF!</definedName>
    <definedName name="LGMR___10">#REF!</definedName>
    <definedName name="LGMR___11">#REF!</definedName>
    <definedName name="LGMR___12">#REF!</definedName>
    <definedName name="LGMR___2">#REF!</definedName>
    <definedName name="LGMR___3">#REF!</definedName>
    <definedName name="LGMR___4">#REF!</definedName>
    <definedName name="LGMR___5">#REF!</definedName>
    <definedName name="LGMR___6">#REF!</definedName>
    <definedName name="LGMR___7">#REF!</definedName>
    <definedName name="LGMS">#REF!</definedName>
    <definedName name="LGMS___0">#REF!</definedName>
    <definedName name="LGMS___1">#REF!</definedName>
    <definedName name="LGMS___10">#REF!</definedName>
    <definedName name="LGMS___11">#REF!</definedName>
    <definedName name="LGMS___12">#REF!</definedName>
    <definedName name="LGMS___2">#REF!</definedName>
    <definedName name="LGMS___3">#REF!</definedName>
    <definedName name="LGMS___4">#REF!</definedName>
    <definedName name="LGMS___5">#REF!</definedName>
    <definedName name="LGMS___6">#REF!</definedName>
    <definedName name="LGMS___7">#REF!</definedName>
    <definedName name="LGS">#REF!</definedName>
    <definedName name="LGS___0">#REF!</definedName>
    <definedName name="LGS___1">#REF!</definedName>
    <definedName name="LGS___10">#REF!</definedName>
    <definedName name="LGS___11">#REF!</definedName>
    <definedName name="LGS___12">#REF!</definedName>
    <definedName name="LGS___2">#REF!</definedName>
    <definedName name="LGS___3">#REF!</definedName>
    <definedName name="LGS___4">#REF!</definedName>
    <definedName name="LGS___5">#REF!</definedName>
    <definedName name="LGS___6">#REF!</definedName>
    <definedName name="LGS___7">#REF!</definedName>
    <definedName name="LI0">#REF!</definedName>
    <definedName name="LI00">#REF!</definedName>
    <definedName name="likiarvo">#REF!</definedName>
    <definedName name="Link_Capacity">#REF!</definedName>
    <definedName name="Link_Occupancy">#REF!</definedName>
    <definedName name="links_2048_1">#REF!</definedName>
    <definedName name="links_2048_2">#REF!</definedName>
    <definedName name="links_2048_3">#REF!</definedName>
    <definedName name="links_2048_4">#REF!</definedName>
    <definedName name="links_2048_8">#REF!</definedName>
    <definedName name="links_56_1">#REF!</definedName>
    <definedName name="links_56_16">#REF!</definedName>
    <definedName name="links_56_2">#REF!</definedName>
    <definedName name="links_56_3">#REF!</definedName>
    <definedName name="links_56_32">#REF!</definedName>
    <definedName name="links_56_4">#REF!</definedName>
    <definedName name="links_56_64">#REF!</definedName>
    <definedName name="links_56_8">#REF!</definedName>
    <definedName name="links_64_1">#REF!</definedName>
    <definedName name="links_64_16">#REF!</definedName>
    <definedName name="links_64_2">#REF!</definedName>
    <definedName name="links_64_3">#REF!</definedName>
    <definedName name="links_64_32">#REF!</definedName>
    <definedName name="links_64_4">#REF!</definedName>
    <definedName name="links_64_64">#REF!</definedName>
    <definedName name="links_64_8">#REF!</definedName>
    <definedName name="Load_balance">#REF!</definedName>
    <definedName name="Loadability_21211">#REF!</definedName>
    <definedName name="Loadability_21220">#REF!</definedName>
    <definedName name="Loadability_21225">#REF!</definedName>
    <definedName name="Loadability_21230">#REF!</definedName>
    <definedName name="local_accom">#REF!</definedName>
    <definedName name="local_allow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O" localSheetId="2">#REF!</definedName>
    <definedName name="LOGO">#REF!</definedName>
    <definedName name="lpu" localSheetId="2">#REF!</definedName>
    <definedName name="lpu">#REF!</definedName>
    <definedName name="LS" localSheetId="2">#REF!</definedName>
    <definedName name="LS">#REF!</definedName>
    <definedName name="Lx__cm">#REF!</definedName>
    <definedName name="Lz__cm">#REF!</definedName>
    <definedName name="M_MSH_11">#REF!</definedName>
    <definedName name="M_MSH_11C">#REF!</definedName>
    <definedName name="M_MSH_41C">#REF!</definedName>
    <definedName name="M_MSH_51C">#REF!</definedName>
    <definedName name="M_MSH_80">#REF!</definedName>
    <definedName name="M_MSH_83">#REF!</definedName>
    <definedName name="MACRO_IMPRESS">#REF!</definedName>
    <definedName name="Macro_pf.Macro_pf">[5]!Macro_pf.Macro_pf</definedName>
    <definedName name="MACRO_PRICE">#REF!</definedName>
    <definedName name="MACROA">#REF!</definedName>
    <definedName name="MACROB">#REF!</definedName>
    <definedName name="Malla_Galvanizada_de_1___x_1___x__8">#REF!</definedName>
    <definedName name="Management">#REF!</definedName>
    <definedName name="Manguera_de_alta_1_2x1_2">#REF!</definedName>
    <definedName name="Manometro_200lbs">#REF!</definedName>
    <definedName name="Marcacion5RADIOS">#REF!</definedName>
    <definedName name="MARCOSMADERA">#REF!</definedName>
    <definedName name="MARCOSMETALICOS">#REF!</definedName>
    <definedName name="MARGEN">#REF!</definedName>
    <definedName name="margencable">#REF!</definedName>
    <definedName name="margenequipo">#REF!</definedName>
    <definedName name="margin">#REF!</definedName>
    <definedName name="Margin_Travel">#REF!</definedName>
    <definedName name="masillado">#REF!</definedName>
    <definedName name="MASTER">#REF!</definedName>
    <definedName name="MAT">#REF!</definedName>
    <definedName name="MAT_INST">#REF!</definedName>
    <definedName name="mater">#REF!</definedName>
    <definedName name="Material">#REF!</definedName>
    <definedName name="Max__standard__calls_AS_server">#REF!</definedName>
    <definedName name="Max_AS_Users">#REF!</definedName>
    <definedName name="max_dim">#REF!</definedName>
    <definedName name="Max_number_of_users_per_AS_server">#REF!</definedName>
    <definedName name="Max_users_per_WS_server">#REF!</definedName>
    <definedName name="MDC">#REF!</definedName>
    <definedName name="MDDH">#REF!</definedName>
    <definedName name="MDM">#REF!</definedName>
    <definedName name="MDRS">#REF!</definedName>
    <definedName name="ME" localSheetId="2" hidden="1">{"HW",#N/A,FALSE,"1998"}</definedName>
    <definedName name="ME" hidden="1">{"HW",#N/A,FALSE,"1998"}</definedName>
    <definedName name="medida" localSheetId="1">[15]VALIDACION!$A$2:$A$5</definedName>
    <definedName name="medida">[16]VALIDACION!$A$2:$A$5</definedName>
    <definedName name="Menge">#REF!</definedName>
    <definedName name="Menge___0">#REF!</definedName>
    <definedName name="Menge___1">#REF!</definedName>
    <definedName name="Menge___10">#REF!</definedName>
    <definedName name="Menge___11">#REF!</definedName>
    <definedName name="Menge___12">#REF!</definedName>
    <definedName name="Menge___2">#REF!</definedName>
    <definedName name="Menge___3">#REF!</definedName>
    <definedName name="Menge___4">#REF!</definedName>
    <definedName name="Menge___5">#REF!</definedName>
    <definedName name="Menge___6">#REF!</definedName>
    <definedName name="Menge___7">#REF!</definedName>
    <definedName name="MER">#REF!</definedName>
    <definedName name="Mes">#REF!</definedName>
    <definedName name="Met_planos_Final_parcial" localSheetId="2" hidden="1">{#N/A,#N/A,TRUE,"1842CWN0"}</definedName>
    <definedName name="Met_planos_Final_parcial" hidden="1">{#N/A,#N/A,TRUE,"1842CWN0"}</definedName>
    <definedName name="Metrado1">#REF!</definedName>
    <definedName name="Metrado10">#REF!</definedName>
    <definedName name="Metrado11">#REF!</definedName>
    <definedName name="Metrado12">#REF!</definedName>
    <definedName name="Metrado13">#REF!</definedName>
    <definedName name="Metrado2">#REF!</definedName>
    <definedName name="Metrado3">#REF!</definedName>
    <definedName name="Metrado4">#REF!</definedName>
    <definedName name="Metrado5">#REF!</definedName>
    <definedName name="Metrado6">#REF!</definedName>
    <definedName name="Metrado7">#REF!</definedName>
    <definedName name="Metrado8">#REF!</definedName>
    <definedName name="Metrado9">#REF!</definedName>
    <definedName name="MF_0">#REF!</definedName>
    <definedName name="MF_15">#REF!</definedName>
    <definedName name="MF_20">#REF!</definedName>
    <definedName name="MF_25">#REF!</definedName>
    <definedName name="MF_30">#REF!</definedName>
    <definedName name="MF_MSH_11">#REF!</definedName>
    <definedName name="MF_MSH_11C">#REF!</definedName>
    <definedName name="MF_MSH_41C">#REF!</definedName>
    <definedName name="MF_PDH">#REF!</definedName>
    <definedName name="MF_SDH">#REF!</definedName>
    <definedName name="MFC">#REF!</definedName>
    <definedName name="MG_Call_Rate">#REF!</definedName>
    <definedName name="MG_Ports_Total">#REF!</definedName>
    <definedName name="MGC_Call_rate">#REF!</definedName>
    <definedName name="MGC_CDRs">#REF!</definedName>
    <definedName name="MGC_DNS_Q">#REF!</definedName>
    <definedName name="MGC_MGs_Total">#REF!</definedName>
    <definedName name="MGC_Ports">#REF!</definedName>
    <definedName name="MGC_Required">#REF!</definedName>
    <definedName name="MGC_SGs_Total">#REF!</definedName>
    <definedName name="MGG">#REF!</definedName>
    <definedName name="MGW_Port_Occupancy">#REF!</definedName>
    <definedName name="MGX_16.0">#REF!</definedName>
    <definedName name="MGX_16.1">#REF!</definedName>
    <definedName name="MGX_G16.0_00">#REF!</definedName>
    <definedName name="MGX_G16.0_10">#REF!</definedName>
    <definedName name="MGX_G16.0_100">#REF!</definedName>
    <definedName name="MGX_G16.0_20">#REF!</definedName>
    <definedName name="MGX_G16.0_30">#REF!</definedName>
    <definedName name="MGX_G16.0_40">#REF!</definedName>
    <definedName name="MGX_G16.0_50">#REF!</definedName>
    <definedName name="MGX_G16.0_60">#REF!</definedName>
    <definedName name="MGX_G16.0_70">#REF!</definedName>
    <definedName name="MGX_G16.0_80">#REF!</definedName>
    <definedName name="MGX_G16.0_90">#REF!</definedName>
    <definedName name="MGX_G16.1_00">#REF!</definedName>
    <definedName name="MGX_G16.1_10">#REF!</definedName>
    <definedName name="MGX_G16.1_100">#REF!</definedName>
    <definedName name="MGX_G16.1_20">#REF!</definedName>
    <definedName name="MGX_G16.1_30">#REF!</definedName>
    <definedName name="MGX_G16.1_40">#REF!</definedName>
    <definedName name="MGX_G16.1_50">#REF!</definedName>
    <definedName name="MGX_G16.1_60">#REF!</definedName>
    <definedName name="MGX_G16.1_70">#REF!</definedName>
    <definedName name="MGX_G16.1_80">#REF!</definedName>
    <definedName name="MGX_G16.1_90">#REF!</definedName>
    <definedName name="mht_access">#REF!</definedName>
    <definedName name="mht_ba">#REF!</definedName>
    <definedName name="mht_bgc">#REF!</definedName>
    <definedName name="mht_bgcI">#REF!</definedName>
    <definedName name="mht_bgcQ">#REF!</definedName>
    <definedName name="MHT_enterprise">#REF!</definedName>
    <definedName name="mht_pots">#REF!</definedName>
    <definedName name="mht_pra">#REF!</definedName>
    <definedName name="MHT_residential">#REF!</definedName>
    <definedName name="mht_trunks">#REF!</definedName>
    <definedName name="MIAMI">#REF!</definedName>
    <definedName name="MicMargin">#REF!</definedName>
    <definedName name="MICRO_IMPRESS">#REF!</definedName>
    <definedName name="MICRO_PRICE">#REF!</definedName>
    <definedName name="Mini">#REF!</definedName>
    <definedName name="MINI_IMPRESS">#REF!</definedName>
    <definedName name="MINI_PRICE">#REF!</definedName>
    <definedName name="misc_total">#REF!</definedName>
    <definedName name="MIT">#REF!</definedName>
    <definedName name="Mitsuishare">#REF!</definedName>
    <definedName name="Mitsuishare___0">#REF!</definedName>
    <definedName name="ML_data">#REF!</definedName>
    <definedName name="ML15C4x2">#REF!</definedName>
    <definedName name="MMargin">#REF!</definedName>
    <definedName name="MNI">#REF!</definedName>
    <definedName name="MOD">'[12]1515'!#REF!</definedName>
    <definedName name="Modalidades_de_internamiento">#REF!</definedName>
    <definedName name="MOMAT">#REF!</definedName>
    <definedName name="MOMAT___0">#REF!</definedName>
    <definedName name="MOMAT___1">#REF!</definedName>
    <definedName name="MOMAT___10">#REF!</definedName>
    <definedName name="MOMAT___11">#REF!</definedName>
    <definedName name="MOMAT___12">#REF!</definedName>
    <definedName name="MOMAT___2">#REF!</definedName>
    <definedName name="MOMAT___3">#REF!</definedName>
    <definedName name="MOMAT___4">#REF!</definedName>
    <definedName name="MOMAT___5">#REF!</definedName>
    <definedName name="MOMAT___6">#REF!</definedName>
    <definedName name="MOMAT___7">#REF!</definedName>
    <definedName name="Monedas">#REF!</definedName>
    <definedName name="montaje">#REF!</definedName>
    <definedName name="Monthly">#REF!</definedName>
    <definedName name="MOT_ALIM">#REF!</definedName>
    <definedName name="MOT_CHANC">#REF!</definedName>
    <definedName name="MOT_COKE">#REF!</definedName>
    <definedName name="MOT_COKE1">#REF!</definedName>
    <definedName name="MOT_DESC">#REF!</definedName>
    <definedName name="MOT_DESPA">#REF!</definedName>
    <definedName name="Motivo_de_Proveedor_condicionado">#REF!</definedName>
    <definedName name="Motivos_de_No_computar_ahorros">#REF!</definedName>
    <definedName name="mov">#REF!</definedName>
    <definedName name="MR_G15">#REF!</definedName>
    <definedName name="MR_G16">#REF!</definedName>
    <definedName name="MRF_Services">#REF!</definedName>
    <definedName name="MRSUPDET">#REF!</definedName>
    <definedName name="MS_Max_User_Cap">#REF!</definedName>
    <definedName name="MS_Measured_BHSA">#REF!</definedName>
    <definedName name="MS_Measured_Cap">#REF!</definedName>
    <definedName name="MS_Node">#REF!</definedName>
    <definedName name="MS_Offered_User_Cap">#REF!</definedName>
    <definedName name="MS_ports_available">#REF!</definedName>
    <definedName name="MS_red_servers_required">#REF!</definedName>
    <definedName name="MS_server_required">#REF!</definedName>
    <definedName name="MS_servers_required">#REF!</definedName>
    <definedName name="MSC_IMPRESS">#REF!</definedName>
    <definedName name="MSC_LME">#REF!</definedName>
    <definedName name="MSC_PRICE">#REF!</definedName>
    <definedName name="MSC_s">#REF!</definedName>
    <definedName name="MSC_SL">#REF!</definedName>
    <definedName name="msc2bsc_inc_total">#REF!</definedName>
    <definedName name="msc2bsc_max">#REF!</definedName>
    <definedName name="msc2bsc_out_total">#REF!</definedName>
    <definedName name="msc2eir_inc_total">#REF!</definedName>
    <definedName name="msc2eir_max">#REF!</definedName>
    <definedName name="msc2eir_out_total">#REF!</definedName>
    <definedName name="msc2hlr_inc_total">#REF!</definedName>
    <definedName name="msc2hlr_max">#REF!</definedName>
    <definedName name="msc2hlr_out_total">#REF!</definedName>
    <definedName name="msc2msc_inc_total">#REF!</definedName>
    <definedName name="msc2msc_max">#REF!</definedName>
    <definedName name="msc2msc_out_total">#REF!</definedName>
    <definedName name="msc2pstn_inc_total">#REF!</definedName>
    <definedName name="msc2pstn_max">#REF!</definedName>
    <definedName name="msc2pstn_out_total">#REF!</definedName>
    <definedName name="msc2rnc_inc_total">#REF!</definedName>
    <definedName name="msc2rnc_max">#REF!</definedName>
    <definedName name="msc2rnc_out_total">#REF!</definedName>
    <definedName name="msc2sc_inc_total">#REF!</definedName>
    <definedName name="msc2sc_max">#REF!</definedName>
    <definedName name="msc2sc_out_total">#REF!</definedName>
    <definedName name="msc2ssp_inc_total">#REF!</definedName>
    <definedName name="msc2ssp_max">#REF!</definedName>
    <definedName name="msc2ssp_out_total">#REF!</definedName>
    <definedName name="msc2vm_inc_total">#REF!</definedName>
    <definedName name="msc2vm_max">#REF!</definedName>
    <definedName name="msc2vm_out_total">#REF!</definedName>
    <definedName name="MSCHW">#REF!</definedName>
    <definedName name="MSCSWBas">#REF!</definedName>
    <definedName name="MSH_11C">#REF!</definedName>
    <definedName name="MSIDM">#REF!</definedName>
    <definedName name="MTP_s1">#REF!</definedName>
    <definedName name="MTP_s2">#REF!</definedName>
    <definedName name="MTP_s3">#REF!</definedName>
    <definedName name="MTP_s4">#REF!</definedName>
    <definedName name="MTP_s5">#REF!</definedName>
    <definedName name="MTP_s6">#REF!</definedName>
    <definedName name="MULTIPLO">#REF!</definedName>
    <definedName name="MultiService">#REF!</definedName>
    <definedName name="N">#REF!</definedName>
    <definedName name="N_AXC811chassis">#REF!</definedName>
    <definedName name="N_Database_Log">#REF!</definedName>
    <definedName name="N_DSPcards">#REF!</definedName>
    <definedName name="N_E1s">#REF!</definedName>
    <definedName name="N_ISR_based_on_the_traffic">#REF!</definedName>
    <definedName name="N_ISR_Boards">#REF!</definedName>
    <definedName name="N_LINKS">#REF!</definedName>
    <definedName name="N_MSU_in">#REF!</definedName>
    <definedName name="N_MSU_out">#REF!</definedName>
    <definedName name="N_Proc_AS_Needed">#REF!</definedName>
    <definedName name="N_Proc_CS_Needed">#REF!</definedName>
    <definedName name="N_Proc_DL">#REF!</definedName>
    <definedName name="N_Proc_DNS_Config">#REF!</definedName>
    <definedName name="N_Proc_LB">#REF!</definedName>
    <definedName name="N_Proc_MGC">#REF!</definedName>
    <definedName name="N_Proc_MS_Needed">#REF!</definedName>
    <definedName name="N_Proc_PS">#REF!</definedName>
    <definedName name="N_Proc_TS">#REF!</definedName>
    <definedName name="N_Proc_WS_Config">#REF!</definedName>
    <definedName name="N_PS_Node">#REF!</definedName>
    <definedName name="N_SC_Node">#REF!</definedName>
    <definedName name="N_subs">#REF!</definedName>
    <definedName name="N_trunks">#REF!</definedName>
    <definedName name="N_User_Per_CSCF_Proc">#REF!</definedName>
    <definedName name="N_User_Per_HSS_Proc">#REF!</definedName>
    <definedName name="na" localSheetId="2" hidden="1">{#N/A,#N/A,FALSE,"$170M Cash";#N/A,#N/A,FALSE,"$250M Cash";#N/A,#N/A,FALSE,"$325M Cash"}</definedName>
    <definedName name="na" hidden="1">{#N/A,#N/A,FALSE,"$170M Cash";#N/A,#N/A,FALSE,"$250M Cash";#N/A,#N/A,FALSE,"$325M Cash"}</definedName>
    <definedName name="nacional">#REF!</definedName>
    <definedName name="Name_1">#REF!</definedName>
    <definedName name="Nat._Flight_Tickets">#REF!</definedName>
    <definedName name="Nat._Flight_Tickets2">#REF!</definedName>
    <definedName name="nb_BA_AM">#REF!</definedName>
    <definedName name="nb_BA_XSS">#REF!</definedName>
    <definedName name="nb_BAV5">#REF!</definedName>
    <definedName name="nb_BGCANS">#REF!</definedName>
    <definedName name="nb_BGCATS">#REF!</definedName>
    <definedName name="nb_BGCI">#REF!</definedName>
    <definedName name="nb_BGCQ">#REF!</definedName>
    <definedName name="nb_POTS">#REF!</definedName>
    <definedName name="nb_POTSV5">#REF!</definedName>
    <definedName name="nb_PRA_AM">#REF!</definedName>
    <definedName name="nb_PRA_XSS">#REF!</definedName>
    <definedName name="Needed_SRD_cap">#REF!</definedName>
    <definedName name="NET">'[12]1515'!#REF!</definedName>
    <definedName name="new" localSheetId="2" hidden="1">{#N/A,#N/A,FALSE,"Global by BU";#N/A,#N/A,FALSE,"U.S. by BU";#N/A,#N/A,FALSE,"Canada by BU";#N/A,#N/A,FALSE,"Europe by BU";#N/A,#N/A,FALSE,"Asia by BU";#N/A,#N/A,FALSE,"Cala by BU"}</definedName>
    <definedName name="new" hidden="1">{#N/A,#N/A,FALSE,"Global by BU";#N/A,#N/A,FALSE,"U.S. by BU";#N/A,#N/A,FALSE,"Canada by BU";#N/A,#N/A,FALSE,"Europe by BU";#N/A,#N/A,FALSE,"Asia by BU";#N/A,#N/A,FALSE,"Cala by BU"}</definedName>
    <definedName name="NIB">#REF!</definedName>
    <definedName name="Niple_de____x_1">#REF!</definedName>
    <definedName name="NL180_tab">[11]NL180!#REF!</definedName>
    <definedName name="NL240_tab">[11]NL240!#REF!</definedName>
    <definedName name="NL290_tab">#REF!</definedName>
    <definedName name="NL400_tab">'[11]Access Radio NL400'!#REF!</definedName>
    <definedName name="NMS_HW">#REF!</definedName>
    <definedName name="NMS_SW">#REF!</definedName>
    <definedName name="nnn" localSheetId="2" hidden="1">{#N/A,#N/A,FALSE,"$170M Cash";#N/A,#N/A,FALSE,"$250M Cash";#N/A,#N/A,FALSE,"$325M Cash"}</definedName>
    <definedName name="nnn" hidden="1">{#N/A,#N/A,FALSE,"$170M Cash";#N/A,#N/A,FALSE,"$250M Cash";#N/A,#N/A,FALSE,"$325M Cash"}</definedName>
    <definedName name="nnnnnnnnnnn" localSheetId="2" hidden="1">{"HW",#N/A,FALSE,"1998"}</definedName>
    <definedName name="nnnnnnnnnnn" hidden="1">{"HW",#N/A,FALSE,"1998"}</definedName>
    <definedName name="No._AS_servers_required">#REF!</definedName>
    <definedName name="No_AXD_CP_pairs">#REF!</definedName>
    <definedName name="No_AXD_E1_boards">#REF!</definedName>
    <definedName name="No_AXD_GE">#REF!</definedName>
    <definedName name="No_AXD_GE_red">#REF!</definedName>
    <definedName name="No_AXD_STM_boards">#REF!</definedName>
    <definedName name="No_AXD_VPB">#REF!</definedName>
    <definedName name="No_BHCA_NSC">#REF!</definedName>
    <definedName name="No_NSC_nod">#REF!</definedName>
    <definedName name="No_NWAY_calls">#REF!</definedName>
    <definedName name="NO_TS_ODU4">#REF!</definedName>
    <definedName name="NODEIMP_CORE">#REF!</definedName>
    <definedName name="Nombre_de_la_empresa">#REF!</definedName>
    <definedName name="Nombre_del_grupo_de_especificación">#REF!</definedName>
    <definedName name="Nombre_del_proyecto">#REF!</definedName>
    <definedName name="Normal_Working_Hours_Month">#REF!</definedName>
    <definedName name="Normal_Working_Hours_Month2">#REF!</definedName>
    <definedName name="NORTE">#REF!</definedName>
    <definedName name="NSS">#REF!</definedName>
    <definedName name="Number_E1_per_DSP">#REF!</definedName>
    <definedName name="Number_MGWs_ISRboard">#REF!</definedName>
    <definedName name="Number_Node">#REF!</definedName>
    <definedName name="Number_of_A_SCservers_required">#REF!</definedName>
    <definedName name="Number_of_ACME_required">#REF!</definedName>
    <definedName name="Number_of_ASservers_required">#REF!</definedName>
    <definedName name="Number_of_BHCA__ACME">#REF!</definedName>
    <definedName name="Number_of_MSservers_required">#REF!</definedName>
    <definedName name="Number_of_N_SC_servers_required">#REF!</definedName>
    <definedName name="Number_of_N_Way_conference_calls">#REF!</definedName>
    <definedName name="Number_of_NSC_calls">#REF!</definedName>
    <definedName name="Number_of_offered_N_SC_calls">#REF!</definedName>
    <definedName name="Number_of_processors_per_ASserver">#REF!</definedName>
    <definedName name="Number_of_processors_per_MSserver">#REF!</definedName>
    <definedName name="Number_of_processors_per_WSserver">#REF!</definedName>
    <definedName name="Number_of_redun_NSC_servers_required">#REF!</definedName>
    <definedName name="Number_of_redundant_WSservers_required">#REF!</definedName>
    <definedName name="Number_of_registered_users_ACME">#REF!</definedName>
    <definedName name="Number_of_users_supported_for_the_A_SCconf.">#REF!</definedName>
    <definedName name="Number_of_users_supported_for_the_ASconf.">#REF!</definedName>
    <definedName name="Number_of_users_supported_for_the_MS_conf.">#REF!</definedName>
    <definedName name="Number_of_users_supported_for_the_N_SCconf.">#REF!</definedName>
    <definedName name="Number_of_users_supported_for_the_WSconf.">#REF!</definedName>
    <definedName name="Number_of_users_supported_per_AS_server">#REF!</definedName>
    <definedName name="Number_of_WSservers_required">#REF!</definedName>
    <definedName name="Number_Processors">#REF!</definedName>
    <definedName name="NumeroDocumento">#REF!</definedName>
    <definedName name="NWC_PSTN">#REF!</definedName>
    <definedName name="NWCCalls">#REF!</definedName>
    <definedName name="NWCDur">#REF!</definedName>
    <definedName name="NWCUsers">#REF!</definedName>
    <definedName name="ñ">#REF!</definedName>
    <definedName name="O">#REF!</definedName>
    <definedName name="O_IPMM">#REF!</definedName>
    <definedName name="O_PSTN">#REF!</definedName>
    <definedName name="O_SIP">#REF!</definedName>
    <definedName name="OAACARREO">'[3]HR-TECNOCOM'!$D$11</definedName>
    <definedName name="OATRANSPORTE">'[3]HR-TECNOCOM'!$D$13</definedName>
    <definedName name="OBA" localSheetId="2" hidden="1">{#N/A,#N/A,FALSE,"model"}</definedName>
    <definedName name="OBA" hidden="1">{#N/A,#N/A,FALSE,"model"}</definedName>
    <definedName name="OBRA">#REF!</definedName>
    <definedName name="Obserbation">#REF!</definedName>
    <definedName name="Observation">#REF!</definedName>
    <definedName name="occonph1">#REF!</definedName>
    <definedName name="occonph2">#REF!</definedName>
    <definedName name="occonph3">#REF!</definedName>
    <definedName name="occonph4">#REF!</definedName>
    <definedName name="occonph5">#REF!</definedName>
    <definedName name="ocinvph1">#REF!</definedName>
    <definedName name="ocinvph2">#REF!</definedName>
    <definedName name="ocinvph3">#REF!</definedName>
    <definedName name="ocinvph4">#REF!</definedName>
    <definedName name="ocinvph5">#REF!</definedName>
    <definedName name="OCP_INT_dim_num_proc_CSCF_MRFP">#REF!</definedName>
    <definedName name="OCP_INT_max_num_prcsrs">#REF!</definedName>
    <definedName name="OCP_INT_max_num_prcsrs_HSS">#REF!</definedName>
    <definedName name="OCP_INT_max_num_proc_CSCF_MRFP">#REF!</definedName>
    <definedName name="OCP_TAB_system_config">#REF!</definedName>
    <definedName name="OCP_TAB_system_config_HSS">#REF!</definedName>
    <definedName name="OCP_TAB_system_config2">#REF!</definedName>
    <definedName name="OCP_TAB_system_config2_HSS">#REF!</definedName>
    <definedName name="ocpremph1">#REF!</definedName>
    <definedName name="ocpremph2">#REF!</definedName>
    <definedName name="ocpremph3">#REF!</definedName>
    <definedName name="ocpremph4">#REF!</definedName>
    <definedName name="ocpremph5">#REF!</definedName>
    <definedName name="octelph1">#REF!</definedName>
    <definedName name="octelph2">#REF!</definedName>
    <definedName name="octelph3">#REF!</definedName>
    <definedName name="octelph4">#REF!</definedName>
    <definedName name="octelph5">#REF!</definedName>
    <definedName name="Octet_in">#REF!</definedName>
    <definedName name="Octet_out">#REF!</definedName>
    <definedName name="Oferta">#REF!</definedName>
    <definedName name="Oferta_No">#REF!</definedName>
    <definedName name="offered_events_Acess">#REF!</definedName>
    <definedName name="offered_events_CSCF">#REF!</definedName>
    <definedName name="OMCR_Hardware_PMIII">#REF!</definedName>
    <definedName name="OMCR_Hardware_SUN">#REF!</definedName>
    <definedName name="OMCR_Software">#REF!</definedName>
    <definedName name="OMNI_2">#REF!</definedName>
    <definedName name="OMNI_4">#REF!</definedName>
    <definedName name="OPCIONALC">#REF!</definedName>
    <definedName name="OPE">#REF!</definedName>
    <definedName name="orden">#REF!</definedName>
    <definedName name="OSIPtoSIP_Per">#REF!</definedName>
    <definedName name="OT">#REF!</definedName>
    <definedName name="OT_CX">#REF!</definedName>
    <definedName name="otros_gastos_de_nacionalizacion">#REF!</definedName>
    <definedName name="out_traffic">#REF!</definedName>
    <definedName name="Outdoor">#REF!</definedName>
    <definedName name="Outgoing">#REF!</definedName>
    <definedName name="P_1">#REF!</definedName>
    <definedName name="p_2003">#REF!</definedName>
    <definedName name="P10C1">#REF!</definedName>
    <definedName name="PAB_01_EST">#REF!</definedName>
    <definedName name="PAB_A_AES">#REF!</definedName>
    <definedName name="PAB_A_EST">#REF!</definedName>
    <definedName name="PAB_B_AES">#REF!</definedName>
    <definedName name="PAB_B_EST">#REF!</definedName>
    <definedName name="PAB_C_AES">#REF!</definedName>
    <definedName name="PAB_C_EST">#REF!</definedName>
    <definedName name="PAB_D_AES">#REF!</definedName>
    <definedName name="PAB_D_EST">#REF!</definedName>
    <definedName name="Pabilo_80_gr">#REF!</definedName>
    <definedName name="PacketData_Software_90">#REF!</definedName>
    <definedName name="Página1">#REF!</definedName>
    <definedName name="PÁGINA101">#REF!</definedName>
    <definedName name="Página2">#REF!</definedName>
    <definedName name="Página3">#REF!</definedName>
    <definedName name="Pais">#REF!</definedName>
    <definedName name="PARTIDA">#REF!</definedName>
    <definedName name="parts.rep.pos">12</definedName>
    <definedName name="PasajesBogBERGENBog">#REF!</definedName>
    <definedName name="PasajesNALINGENIEROTECNICO">#REF!</definedName>
    <definedName name="pasivo">#REF!</definedName>
    <definedName name="Pasta_de_soldar_COBRE">#REF!</definedName>
    <definedName name="PAYMENTTERMS">OFFSET([7]PaymentTerms!$A$2,0,0,COUNTA([7]PaymentTerms!$A:$A))</definedName>
    <definedName name="PBTS">#REF!</definedName>
    <definedName name="PCV">#REF!</definedName>
    <definedName name="PDSN_10">#REF!</definedName>
    <definedName name="PDSN_100">#REF!</definedName>
    <definedName name="PDSN_20">#REF!</definedName>
    <definedName name="PDSN_30">#REF!</definedName>
    <definedName name="PDSN_40">#REF!</definedName>
    <definedName name="PDSN_50">#REF!</definedName>
    <definedName name="PDSN_60">#REF!</definedName>
    <definedName name="PDSN_70">#REF!</definedName>
    <definedName name="PDSN_80">#REF!</definedName>
    <definedName name="PDSN_90">#REF!</definedName>
    <definedName name="Pegamento_CPVC_1__8">#REF!</definedName>
    <definedName name="PEO">#REF!</definedName>
    <definedName name="PER">#REF!</definedName>
    <definedName name="perc_G711_codec">#REF!</definedName>
    <definedName name="perc_G729_codec">#REF!</definedName>
    <definedName name="Perc_Unanswered">#REF!</definedName>
    <definedName name="percent_fax">#REF!</definedName>
    <definedName name="Perdida">#REF!</definedName>
    <definedName name="Perímetro_sótano">#REF!</definedName>
    <definedName name="Perímetro_tienda">#REF!</definedName>
    <definedName name="Periodo_de_pago">#REF!</definedName>
    <definedName name="Periodo_Maduracion">#REF!</definedName>
    <definedName name="Perioricidad">#REF!</definedName>
    <definedName name="Pernos_de_anclaje">#REF!</definedName>
    <definedName name="PESO_COLUMNAS">#REF!</definedName>
    <definedName name="Peso_kg_m">#REF!</definedName>
    <definedName name="PESOS">#REF!</definedName>
    <definedName name="PF0">#REF!</definedName>
    <definedName name="PF00">#REF!</definedName>
    <definedName name="PG">#REF!</definedName>
    <definedName name="Phones_Day__USD">#REF!</definedName>
    <definedName name="Phones_Day_USD2">#REF!</definedName>
    <definedName name="pintut">#REF!</definedName>
    <definedName name="Placa_de_Al_doble">#REF!</definedName>
    <definedName name="PLACAS">#REF!</definedName>
    <definedName name="Plancha_Eternit_Super_Techalit_1.80x_0.60">#REF!</definedName>
    <definedName name="plf">#REF!</definedName>
    <definedName name="Plug_In_Units">#REF!</definedName>
    <definedName name="PM_inc">#REF!</definedName>
    <definedName name="PM_int">#REF!</definedName>
    <definedName name="PM_out">#REF!</definedName>
    <definedName name="PM_tran">#REF!</definedName>
    <definedName name="Pond">#REF!</definedName>
    <definedName name="Ponderación_Éxito">#REF!</definedName>
    <definedName name="por">#REF!</definedName>
    <definedName name="POTS">#REF!</definedName>
    <definedName name="POTSV5">#REF!</definedName>
    <definedName name="pp">#REF!</definedName>
    <definedName name="ppp">#REF!</definedName>
    <definedName name="pppppppp">#REF!</definedName>
    <definedName name="PPRTO">[5]!_xlnm.Database</definedName>
    <definedName name="PPTO" localSheetId="2" hidden="1">{"'Edit'!$A$1:$V$2277"}</definedName>
    <definedName name="PPTO" hidden="1">{"'Edit'!$A$1:$V$2277"}</definedName>
    <definedName name="pra_1">#REF!</definedName>
    <definedName name="pra_10">#REF!</definedName>
    <definedName name="pra_11">#REF!</definedName>
    <definedName name="pra_12">#REF!</definedName>
    <definedName name="pra_13">#REF!</definedName>
    <definedName name="pra_14">#REF!</definedName>
    <definedName name="pra_15">#REF!</definedName>
    <definedName name="pra_16">#REF!</definedName>
    <definedName name="pra_17">#REF!</definedName>
    <definedName name="pra_18">#REF!</definedName>
    <definedName name="pra_19">#REF!</definedName>
    <definedName name="pra_2">#REF!</definedName>
    <definedName name="pra_20">#REF!</definedName>
    <definedName name="pra_21">#REF!</definedName>
    <definedName name="pra_22">#REF!</definedName>
    <definedName name="pra_23">#REF!</definedName>
    <definedName name="pra_24">#REF!</definedName>
    <definedName name="pra_25">#REF!</definedName>
    <definedName name="pra_26">#REF!</definedName>
    <definedName name="pra_27">#REF!</definedName>
    <definedName name="pra_28">#REF!</definedName>
    <definedName name="pra_29">#REF!</definedName>
    <definedName name="pra_3">#REF!</definedName>
    <definedName name="pra_30">#REF!</definedName>
    <definedName name="pra_31">#REF!</definedName>
    <definedName name="pra_32">#REF!</definedName>
    <definedName name="pra_4">#REF!</definedName>
    <definedName name="pra_5">#REF!</definedName>
    <definedName name="pra_6">#REF!</definedName>
    <definedName name="pra_7">#REF!</definedName>
    <definedName name="pra_8">#REF!</definedName>
    <definedName name="pra_9">#REF!</definedName>
    <definedName name="pra_a_nl">#REF!</definedName>
    <definedName name="PRA_AM">#REF!</definedName>
    <definedName name="pra_dim_table">#REF!</definedName>
    <definedName name="pra_emg_traff_table">#REF!</definedName>
    <definedName name="pra_jtc_css">#REF!</definedName>
    <definedName name="pra_jtc_hl">#REF!</definedName>
    <definedName name="pra_jtc_nl">#REF!</definedName>
    <definedName name="pra_jtc_table">#REF!</definedName>
    <definedName name="pra_jtc_table2">#REF!</definedName>
    <definedName name="pra_rpbc">#REF!</definedName>
    <definedName name="pra_traff_emg">#REF!</definedName>
    <definedName name="pra_traff_for_table">#REF!</definedName>
    <definedName name="pra_traff_from_table_hl">#REF!</definedName>
    <definedName name="pra_traff_from_table_nl">#REF!</definedName>
    <definedName name="pra_trhb">#REF!</definedName>
    <definedName name="PRA_XSS">#REF!</definedName>
    <definedName name="pre">#REF!</definedName>
    <definedName name="preciario">#REF!</definedName>
    <definedName name="precios">#REF!</definedName>
    <definedName name="precios1">#REF!</definedName>
    <definedName name="Premissas" localSheetId="2" hidden="1">{#N/A,#N/A,FALSE,"model"}</definedName>
    <definedName name="Premissas" hidden="1">{#N/A,#N/A,FALSE,"model"}</definedName>
    <definedName name="Prepaid">#REF!</definedName>
    <definedName name="PRESUPU">#REF!</definedName>
    <definedName name="print" localSheetId="2" hidden="1">{#N/A,#N/A,FALSE,"$170M Cash";#N/A,#N/A,FALSE,"$250M Cash";#N/A,#N/A,FALSE,"$325M Cash"}</definedName>
    <definedName name="print" hidden="1">{#N/A,#N/A,FALSE,"$170M Cash";#N/A,#N/A,FALSE,"$250M Cash";#N/A,#N/A,FALSE,"$325M Cash"}</definedName>
    <definedName name="Print_Area_MI">#REF!</definedName>
    <definedName name="prislistaprint">#REF!</definedName>
    <definedName name="prm" localSheetId="2" hidden="1">{#N/A,#N/A,FALSE,"model"}</definedName>
    <definedName name="prm" hidden="1">{#N/A,#N/A,FALSE,"model"}</definedName>
    <definedName name="Proc_Server_AS">#REF!</definedName>
    <definedName name="Proc_Server_CS">#REF!</definedName>
    <definedName name="Proc_Server_MS">#REF!</definedName>
    <definedName name="Processors_per_MS_Server">#REF!</definedName>
    <definedName name="Produktkosten">#REF!</definedName>
    <definedName name="Produktkosten___0">#REF!</definedName>
    <definedName name="Produktkosten___1">#REF!</definedName>
    <definedName name="Produktkosten___10">#REF!</definedName>
    <definedName name="Produktkosten___11">#REF!</definedName>
    <definedName name="Produktkosten___12">#REF!</definedName>
    <definedName name="Produktkosten___2">#REF!</definedName>
    <definedName name="Produktkosten___3">#REF!</definedName>
    <definedName name="Produktkosten___4">#REF!</definedName>
    <definedName name="Produktkosten___5">#REF!</definedName>
    <definedName name="Produktkosten___6">#REF!</definedName>
    <definedName name="Produktkosten___7">#REF!</definedName>
    <definedName name="projectName">#REF!</definedName>
    <definedName name="PROJETO" localSheetId="2">#REF!,#REF!</definedName>
    <definedName name="PROJETO">#REF!,#REF!</definedName>
    <definedName name="PROVEEDOR">OFFSET([7]Proveedores!$D$2,0,0,COUNTA([7]Proveedores!$D:$D))</definedName>
    <definedName name="PROVI3">#REF!</definedName>
    <definedName name="provincia">#REF!</definedName>
    <definedName name="Provisioning_server">#REF!</definedName>
    <definedName name="Proyecto">#REF!</definedName>
    <definedName name="proyectos">#REF!</definedName>
    <definedName name="prueba">#REF!</definedName>
    <definedName name="PS_Nodes">#REF!</definedName>
    <definedName name="PSI_G16.0_00">#REF!</definedName>
    <definedName name="PSI_G16.0_10">#REF!</definedName>
    <definedName name="PSI_G16.0_100">#REF!</definedName>
    <definedName name="PSI_G16.0_20">#REF!</definedName>
    <definedName name="PSI_G16.0_30">#REF!</definedName>
    <definedName name="PSI_G16.0_40">#REF!</definedName>
    <definedName name="PSI_G16.0_50">#REF!</definedName>
    <definedName name="PSI_G16.0_60">#REF!</definedName>
    <definedName name="PSI_G16.0_70">#REF!</definedName>
    <definedName name="PSI_G16.0_80">#REF!</definedName>
    <definedName name="PSI_G16.0_90">#REF!</definedName>
    <definedName name="PSI_G16.1">#REF!</definedName>
    <definedName name="PSTNtoSIP_Per">#REF!</definedName>
    <definedName name="PT">#REF!</definedName>
    <definedName name="PTCH_per_Site">#REF!</definedName>
    <definedName name="pte">#REF!</definedName>
    <definedName name="PTG">#REF!</definedName>
    <definedName name="PTO">#REF!</definedName>
    <definedName name="PTS" localSheetId="2" hidden="1">{"'Edit'!$A$1:$V$2277"}</definedName>
    <definedName name="PTS" hidden="1">{"'Edit'!$A$1:$V$2277"}</definedName>
    <definedName name="pu">#REF!</definedName>
    <definedName name="Puente_MAGIC">#REF!</definedName>
    <definedName name="PUERTASALUMINIO">#REF!</definedName>
    <definedName name="Pulsador_Ticino_Magic_simple">#REF!</definedName>
    <definedName name="PV">#REF!</definedName>
    <definedName name="PV_TOT">'[12]1515'!$I$18:$I$77</definedName>
    <definedName name="PV_UNIT">'[12]1515'!$H$18:$H$77</definedName>
    <definedName name="PYGMAR">#REF!</definedName>
    <definedName name="Q">#REF!</definedName>
    <definedName name="qa" localSheetId="2" hidden="1">{#N/A,#N/A,FALSE,"model"}</definedName>
    <definedName name="qa" hidden="1">{#N/A,#N/A,FALSE,"model"}</definedName>
    <definedName name="QONE">#REF!</definedName>
    <definedName name="qryEXCEL_KT_Lieferübersicht_En">#REF!</definedName>
    <definedName name="Qté">'[12]1515'!$G$18:$G$77</definedName>
    <definedName name="QTE_TOT">'[12]1515'!#REF!</definedName>
    <definedName name="QTHREE">#REF!</definedName>
    <definedName name="QTWO">#REF!</definedName>
    <definedName name="Query_BH">#REF!</definedName>
    <definedName name="qz">[5]!volta_para_tela_principal</definedName>
    <definedName name="RADIO" localSheetId="2" hidden="1">{"HW",#N/A,FALSE,"1998"}</definedName>
    <definedName name="RADIO" hidden="1">{"HW",#N/A,FALSE,"1998"}</definedName>
    <definedName name="Rating">#REF!</definedName>
    <definedName name="Rating___0">#REF!</definedName>
    <definedName name="Rating___1">#REF!</definedName>
    <definedName name="Rating___10">#REF!</definedName>
    <definedName name="Rating___11">#REF!</definedName>
    <definedName name="Rating___12">#REF!</definedName>
    <definedName name="Rating___2">#REF!</definedName>
    <definedName name="Rating___3">#REF!</definedName>
    <definedName name="Rating___4">#REF!</definedName>
    <definedName name="Rating___5">#REF!</definedName>
    <definedName name="Rating___6">#REF!</definedName>
    <definedName name="Rating___7">#REF!</definedName>
    <definedName name="RBAH">#REF!</definedName>
    <definedName name="rbs_td">#REF!</definedName>
    <definedName name="RBSBogota">#REF!</definedName>
    <definedName name="Re_reg_CSCF">#REF!</definedName>
    <definedName name="Reasons">#REF!</definedName>
    <definedName name="Rec_SIP_to_PSTN">#REF!</definedName>
    <definedName name="Recalc_3_WAY_Conference">#REF!</definedName>
    <definedName name="Recalc_H323_to_SIP">#REF!</definedName>
    <definedName name="Recalc_N_WAY_Conference">#REF!</definedName>
    <definedName name="Recalc_Other_SIP_to_SIP">#REF!</definedName>
    <definedName name="Recalc_PSTN_to_SIP">#REF!</definedName>
    <definedName name="Recalc_SIP_to_H323">#REF!</definedName>
    <definedName name="Recalc_SIP_to_Other_SIP">#REF!</definedName>
    <definedName name="Recalc_SIP_to_SIP">#REF!</definedName>
    <definedName name="Reducción_PVC_C10_de_1_1_2__a_1">#REF!</definedName>
    <definedName name="REF">'[12]1515'!#REF!</definedName>
    <definedName name="region_1">"SE"</definedName>
    <definedName name="region_2">"Midlands"</definedName>
    <definedName name="region_3">"West"</definedName>
    <definedName name="region_4">"NW"</definedName>
    <definedName name="region_5">"NE"</definedName>
    <definedName name="region_6">"Scotland"</definedName>
    <definedName name="Registered_users">#REF!</definedName>
    <definedName name="Registro_bronce_de_6">#REF!</definedName>
    <definedName name="REM">#REF!</definedName>
    <definedName name="Removedor___Limpiador_de_tuberia">#REF!</definedName>
    <definedName name="rendimiento">#REF!</definedName>
    <definedName name="REPUESTOS">#REF!</definedName>
    <definedName name="Required_MS_ports">#REF!</definedName>
    <definedName name="required_standard_calls_AS">#REF!</definedName>
    <definedName name="Resident_traffic">#REF!</definedName>
    <definedName name="RESUMAO">#REF!</definedName>
    <definedName name="RESUMEN">#REF!</definedName>
    <definedName name="resumo">#REF!</definedName>
    <definedName name="Rev">#REF!</definedName>
    <definedName name="REV_version">#REF!</definedName>
    <definedName name="Rh">#REF!</definedName>
    <definedName name="Risk">#REF!</definedName>
    <definedName name="Risk_Margin">#REF!</definedName>
    <definedName name="riskATSTbaselineRequested">TRUE</definedName>
    <definedName name="riskATSTboxGraph">TRUE</definedName>
    <definedName name="riskATSTcomparisonGraph">TRUE</definedName>
    <definedName name="riskATSThistogramGraph">FALSE</definedName>
    <definedName name="riskATSToutputStatistic">4</definedName>
    <definedName name="riskATSTprintReport">FALSE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MP">'[12]1515'!#REF!</definedName>
    <definedName name="RN">#REF!</definedName>
    <definedName name="rngConsolidation1">#REF!</definedName>
    <definedName name="Rows_in_version">#REF!</definedName>
    <definedName name="rpd">#REF!</definedName>
    <definedName name="RPF_1">#REF!</definedName>
    <definedName name="RPF_2102">#REF!</definedName>
    <definedName name="RPF_2106">#REF!</definedName>
    <definedName name="RPF_2202">#REF!</definedName>
    <definedName name="RPF_2205">#REF!</definedName>
    <definedName name="RPF_2206">#REF!</definedName>
    <definedName name="RPF_2302">#REF!</definedName>
    <definedName name="RPF_2308">#REF!</definedName>
    <definedName name="RPF_2401">#REF!</definedName>
    <definedName name="RPF_BC">#REF!</definedName>
    <definedName name="RPF_BGW">#REF!</definedName>
    <definedName name="RPF_BSCHW">#REF!</definedName>
    <definedName name="RPF_BSCSW">#REF!</definedName>
    <definedName name="RPF_BTS">#REF!</definedName>
    <definedName name="RPF_dTRU">#REF!</definedName>
    <definedName name="RPF_EHPT">#REF!</definedName>
    <definedName name="RPF_EPPIX">#REF!</definedName>
    <definedName name="RPF_GPRSHW">#REF!</definedName>
    <definedName name="RPF_GPRSSW">#REF!</definedName>
    <definedName name="RPF_HLRHW">#REF!</definedName>
    <definedName name="RPF_HLRSW">#REF!</definedName>
    <definedName name="RPF_Impl">#REF!</definedName>
    <definedName name="RPF_Maxite">#REF!</definedName>
    <definedName name="RPF_ML">#REF!</definedName>
    <definedName name="RPF_MMS">#REF!</definedName>
    <definedName name="RPF_MSCHW">#REF!</definedName>
    <definedName name="RPF_MSCSW">#REF!</definedName>
    <definedName name="RPF_OSS">#REF!</definedName>
    <definedName name="RPF_Power">#REF!</definedName>
    <definedName name="RPF_PPL">#REF!</definedName>
    <definedName name="RPF_SCPHW">#REF!</definedName>
    <definedName name="RPF_SCPSW">#REF!</definedName>
    <definedName name="RPF_Serv">#REF!</definedName>
    <definedName name="RPF_SMS">#REF!</definedName>
    <definedName name="RPF_SOG">#REF!</definedName>
    <definedName name="RPF_SP">#REF!</definedName>
    <definedName name="RPF_Supp">#REF!</definedName>
    <definedName name="RPF_Train">#REF!</definedName>
    <definedName name="RPF_TRU">#REF!</definedName>
    <definedName name="RPF_VMS">#REF!</definedName>
    <definedName name="RPF_WAP">#REF!</definedName>
    <definedName name="RPHA">#REF!</definedName>
    <definedName name="RPHlimit_21211">#REF!</definedName>
    <definedName name="RPHlimit_21220">#REF!</definedName>
    <definedName name="RPHlimit_21225">#REF!</definedName>
    <definedName name="RPHlimit_21230">#REF!</definedName>
    <definedName name="rrrrrr">#REF!</definedName>
    <definedName name="RUBEN" localSheetId="2" hidden="1">{#N/A,#N/A,FALSE,"model"}</definedName>
    <definedName name="RUBEN" hidden="1">{#N/A,#N/A,FALSE,"model"}</definedName>
    <definedName name="RUR">#REF!</definedName>
    <definedName name="rx__cm">#REF!</definedName>
    <definedName name="rz__cm">#REF!</definedName>
    <definedName name="S" localSheetId="2" hidden="1">{"'IUM'!$Q$62"}</definedName>
    <definedName name="S" hidden="1">{"'IUM'!$Q$62"}</definedName>
    <definedName name="S_01">#REF!</definedName>
    <definedName name="S_02">#REF!</definedName>
    <definedName name="S_222">#REF!</definedName>
    <definedName name="S_444">#REF!</definedName>
    <definedName name="Safety_Buffer">#REF!</definedName>
    <definedName name="salida">#REF!</definedName>
    <definedName name="SB">#REF!</definedName>
    <definedName name="SBA">#REF!</definedName>
    <definedName name="SBH">#REF!</definedName>
    <definedName name="SC">#REF!</definedName>
    <definedName name="SC_Capacity">#REF!</definedName>
    <definedName name="SC_CDRs">#REF!</definedName>
    <definedName name="SC_DNS_Q">#REF!</definedName>
    <definedName name="Scenario">#REF!</definedName>
    <definedName name="scp2sdp_inc_total">#REF!</definedName>
    <definedName name="scp2sdp_max">#REF!</definedName>
    <definedName name="scp2sdp_out_total">#REF!</definedName>
    <definedName name="SCREEN_s1">#REF!</definedName>
    <definedName name="SCREEN_s2">#REF!</definedName>
    <definedName name="SCREEN_s3">#REF!</definedName>
    <definedName name="SCREEN_s4">#REF!</definedName>
    <definedName name="SCREEN_s5">#REF!</definedName>
    <definedName name="SCREEN_s6">#REF!</definedName>
    <definedName name="sdsf">#REF!</definedName>
    <definedName name="SDU_00">#REF!</definedName>
    <definedName name="SDU_10">#REF!</definedName>
    <definedName name="SDU_100">#REF!</definedName>
    <definedName name="SDU_20">#REF!</definedName>
    <definedName name="SDU_30">#REF!</definedName>
    <definedName name="SDU_40">#REF!</definedName>
    <definedName name="SDU_50">#REF!</definedName>
    <definedName name="SDU_60">#REF!</definedName>
    <definedName name="SDU_70">#REF!</definedName>
    <definedName name="SDU_80">#REF!</definedName>
    <definedName name="SDU_90">#REF!</definedName>
    <definedName name="SegCount">#REF!</definedName>
    <definedName name="SegmentInputArea" localSheetId="2">#REF!,#REF!</definedName>
    <definedName name="SegmentInputArea">#REF!,#REF!</definedName>
    <definedName name="Seguiminto">#REF!</definedName>
    <definedName name="seguros_externos">#REF!</definedName>
    <definedName name="seguros_internos">#REF!</definedName>
    <definedName name="sek">#REF!</definedName>
    <definedName name="sek_100itl">#REF!</definedName>
    <definedName name="sek_usd">#REF!</definedName>
    <definedName name="SEKperUSD">#REF!</definedName>
    <definedName name="SEKperUSDspot">#REF!</definedName>
    <definedName name="SelDiv">#REF!</definedName>
    <definedName name="SelectAllBooks">"SelectAllBooks"</definedName>
    <definedName name="sencount" hidden="1">1</definedName>
    <definedName name="Service_Discount">#REF!</definedName>
    <definedName name="Services_AXE_Imp_Gross">#REF!</definedName>
    <definedName name="Services_BSC_Impl_Gross">#REF!</definedName>
    <definedName name="Services_BTS_Imp_Gross">#REF!</definedName>
    <definedName name="SERVICES_CORE">#REF!</definedName>
    <definedName name="Servicios">#REF!</definedName>
    <definedName name="SERVICIOS___0">#REF!</definedName>
    <definedName name="SERVICIOS___1">#REF!</definedName>
    <definedName name="SERVICIOS___10">#REF!</definedName>
    <definedName name="SERVICIOS___11">#REF!</definedName>
    <definedName name="SERVICIOS___12">#REF!</definedName>
    <definedName name="SERVICIOS___2">#REF!</definedName>
    <definedName name="SERVICIOS___3">#REF!</definedName>
    <definedName name="SERVICIOS___4">#REF!</definedName>
    <definedName name="SERVICIOS___5">#REF!</definedName>
    <definedName name="SERVICIOS___6">#REF!</definedName>
    <definedName name="SERVICIOS___7">#REF!</definedName>
    <definedName name="servico">#REF!</definedName>
    <definedName name="servio">#REF!</definedName>
    <definedName name="SGSN3.0_kpps">#REF!</definedName>
    <definedName name="SGSN3.0_PDP">#REF!</definedName>
    <definedName name="SGSN3.0_SAU">#REF!</definedName>
    <definedName name="SGSN4.0_kpps">#REF!</definedName>
    <definedName name="SGSN4.0_PDP">#REF!</definedName>
    <definedName name="SGSN4.0_SAU">#REF!</definedName>
    <definedName name="SGSN5.0_PDP">#REF!</definedName>
    <definedName name="SGSN5.0_SAU">#REF!</definedName>
    <definedName name="SHEE_INT">#REF!</definedName>
    <definedName name="SHEET_KP">#REF!</definedName>
    <definedName name="SHEET_MR">#REF!</definedName>
    <definedName name="Sheetnames">#REF!</definedName>
    <definedName name="SHO">#REF!</definedName>
    <definedName name="SIE">#REF!</definedName>
    <definedName name="siemensfee">#REF!</definedName>
    <definedName name="siemensfee___0">#REF!</definedName>
    <definedName name="siemensmargin">#REF!</definedName>
    <definedName name="siemensmargin___0">#REF!</definedName>
    <definedName name="sig_octets_2048_linkset">#REF!</definedName>
    <definedName name="sig_octets_2048_total">#REF!</definedName>
    <definedName name="sig_octets_56_64_linkset">#REF!</definedName>
    <definedName name="sig_octets_56_64_total">#REF!</definedName>
    <definedName name="SiglaAprueba">#REF!</definedName>
    <definedName name="SiglaEjecuta">#REF!</definedName>
    <definedName name="SiglaRevisa">#REF!</definedName>
    <definedName name="Signaling_links_perE1">#REF!</definedName>
    <definedName name="Sika_Dur_32">#REF!</definedName>
    <definedName name="Silicona_transparente_cartucho">#REF!</definedName>
    <definedName name="SimplexLogicaSw">#REF!</definedName>
    <definedName name="SIMPOR">#REF!</definedName>
    <definedName name="SIMPOR___0">#REF!</definedName>
    <definedName name="SIMPOR___1">#REF!</definedName>
    <definedName name="SIMPOR___10">#REF!</definedName>
    <definedName name="SIMPOR___11">#REF!</definedName>
    <definedName name="SIMPOR___12">#REF!</definedName>
    <definedName name="SIMPOR___2">#REF!</definedName>
    <definedName name="SIMPOR___3">#REF!</definedName>
    <definedName name="SIMPOR___4">#REF!</definedName>
    <definedName name="SIMPOR___5">#REF!</definedName>
    <definedName name="SIMPOR___6">#REF!</definedName>
    <definedName name="SIMPOR___7">#REF!</definedName>
    <definedName name="Simult_Calls">#REF!</definedName>
    <definedName name="SIN">#REF!</definedName>
    <definedName name="SIPtoH323_Per">#REF!</definedName>
    <definedName name="SIPtoOSIP_Per">#REF!</definedName>
    <definedName name="SIPtoPSTN_Per">#REF!</definedName>
    <definedName name="SIPtoSIP_Per">#REF!</definedName>
    <definedName name="Sites">#REF!</definedName>
    <definedName name="sitios">#REF!</definedName>
    <definedName name="sl_c7_total">#REF!</definedName>
    <definedName name="sl_dim_tables">#REF!</definedName>
    <definedName name="sl_hlr">#REF!</definedName>
    <definedName name="sl_table">#REF!</definedName>
    <definedName name="SM">#REF!</definedName>
    <definedName name="SMA">#REF!</definedName>
    <definedName name="Small">#REF!</definedName>
    <definedName name="Socket_loza_Edison">#REF!</definedName>
    <definedName name="SOFT.CODE">#REF!</definedName>
    <definedName name="SOFT.QTY">#REF!</definedName>
    <definedName name="SOFT.S">#REF!</definedName>
    <definedName name="Software_FAP">#REF!</definedName>
    <definedName name="SOLES">#REF!</definedName>
    <definedName name="Solicitud">#REF!</definedName>
    <definedName name="SoO_HW">#REF!</definedName>
    <definedName name="SoO_SW">#REF!</definedName>
    <definedName name="SP">#REF!</definedName>
    <definedName name="sp69sp">[5]!sp69sp</definedName>
    <definedName name="spare">#REF!</definedName>
    <definedName name="SPARE_tab">[11]SPARE!#REF!</definedName>
    <definedName name="SPM">#REF!</definedName>
    <definedName name="SPMS">#REF!</definedName>
    <definedName name="sPrevFilename">#REF!</definedName>
    <definedName name="SPRS_CORE">#REF!</definedName>
    <definedName name="SRD_loadability">#REF!</definedName>
    <definedName name="SRD_Read_Cap">#REF!</definedName>
    <definedName name="SRD_Write_Cap">#REF!</definedName>
    <definedName name="SRD_WS_Cap">#REF!</definedName>
    <definedName name="ssd">#REF!</definedName>
    <definedName name="ssp2scp_inc_total">#REF!</definedName>
    <definedName name="ssp2scp_max">#REF!</definedName>
    <definedName name="ssp2scp_out_total">#REF!</definedName>
    <definedName name="SSSS">[5]!_xlnm.Database</definedName>
    <definedName name="ST">#REF!</definedName>
    <definedName name="st_c7rpd">#REF!</definedName>
    <definedName name="st_c7stg">#REF!</definedName>
    <definedName name="st_pcd">#REF!</definedName>
    <definedName name="st_s7ds0a">#REF!</definedName>
    <definedName name="st_s7stg56">#REF!</definedName>
    <definedName name="st_s7stg64">#REF!</definedName>
    <definedName name="st_s7v35">#REF!</definedName>
    <definedName name="STAMPA">#REF!</definedName>
    <definedName name="STAMPA12">#REF!</definedName>
    <definedName name="standard">#REF!</definedName>
    <definedName name="StartRates">#REF!</definedName>
    <definedName name="StartTags">#REF!</definedName>
    <definedName name="STAT_01">'[12]1515'!$J$18:$J$77</definedName>
    <definedName name="STAT_02">'[12]1515'!$K$18:$K$77</definedName>
    <definedName name="STAT_03">'[12]1515'!$L$18:$L$77</definedName>
    <definedName name="STAT_04">'[12]1515'!$M$18:$M$77</definedName>
    <definedName name="STAT_05">'[12]1515'!$N$18:$N$77</definedName>
    <definedName name="STAT_06">'[12]1515'!$O$18:$O$77</definedName>
    <definedName name="STAT_07">'[12]1515'!#REF!</definedName>
    <definedName name="STAT_08">'[12]1515'!#REF!</definedName>
    <definedName name="STAT_09">'[12]1515'!#REF!</definedName>
    <definedName name="STAT_10">'[12]1515'!#REF!</definedName>
    <definedName name="STAT_11">'[12]1515'!#REF!</definedName>
    <definedName name="STAT_12">'[12]1515'!#REF!</definedName>
    <definedName name="STAT_13">'[12]1515'!#REF!</definedName>
    <definedName name="STAT_14">'[12]1515'!#REF!</definedName>
    <definedName name="STAT_15">'[12]1515'!#REF!</definedName>
    <definedName name="STAT_16">'[12]1515'!#REF!</definedName>
    <definedName name="STAT_17">'[12]1515'!#REF!</definedName>
    <definedName name="STAT_18">'[12]1515'!#REF!</definedName>
    <definedName name="STAT_19">'[12]1515'!#REF!</definedName>
    <definedName name="STAT_20">'[12]1515'!#REF!</definedName>
    <definedName name="STAT_21">'[12]1515'!#REF!</definedName>
    <definedName name="STAT_22">'[12]1515'!#REF!</definedName>
    <definedName name="STAT_23">'[12]1515'!#REF!</definedName>
    <definedName name="STAT_24">'[12]1515'!#REF!</definedName>
    <definedName name="STAT_25">'[12]1515'!#REF!</definedName>
    <definedName name="STAT_26">'[12]1515'!#REF!</definedName>
    <definedName name="STAT_27">'[12]1515'!#REF!</definedName>
    <definedName name="STAT_28">'[12]1515'!#REF!</definedName>
    <definedName name="STAT_29">'[12]1515'!#REF!</definedName>
    <definedName name="STAT_30">'[12]1515'!#REF!</definedName>
    <definedName name="STAT_31">'[12]1515'!#REF!</definedName>
    <definedName name="STAT_32">'[12]1515'!#REF!</definedName>
    <definedName name="STAT_33">'[12]1515'!#REF!</definedName>
    <definedName name="STAT_34">'[12]1515'!#REF!</definedName>
    <definedName name="STAT_35">'[12]1515'!#REF!</definedName>
    <definedName name="STAT_36">'[12]1515'!#REF!</definedName>
    <definedName name="STAT_37">'[12]1515'!#REF!</definedName>
    <definedName name="STAT_38">'[12]1515'!#REF!</definedName>
    <definedName name="STAT_39">'[12]1515'!#REF!</definedName>
    <definedName name="STAT_40">'[12]1515'!#REF!</definedName>
    <definedName name="STAT_41">'[12]1515'!#REF!</definedName>
    <definedName name="STAT_42">'[12]1515'!#REF!</definedName>
    <definedName name="STE">#REF!</definedName>
    <definedName name="STP_OK">#REF!</definedName>
    <definedName name="stp2auc_inc_total">#REF!</definedName>
    <definedName name="stp2auc_max">#REF!</definedName>
    <definedName name="stp2auc_out_total">#REF!</definedName>
    <definedName name="stp2eir_inc_total">#REF!</definedName>
    <definedName name="stp2eir_max">#REF!</definedName>
    <definedName name="stp2eir_out_total">#REF!</definedName>
    <definedName name="stp2fnr_inc_total">#REF!</definedName>
    <definedName name="stp2fnr_max">#REF!</definedName>
    <definedName name="stp2fnr_out_total">#REF!</definedName>
    <definedName name="stp2hlr_inc_total">#REF!</definedName>
    <definedName name="stp2hlr_max">#REF!</definedName>
    <definedName name="stp2hlr_out_total">#REF!</definedName>
    <definedName name="stp2msc_inc_total">#REF!</definedName>
    <definedName name="stp2msc_max">#REF!</definedName>
    <definedName name="stp2msc_out_total">#REF!</definedName>
    <definedName name="stp2pstn_inc_total">#REF!</definedName>
    <definedName name="stp2pstn_max">#REF!</definedName>
    <definedName name="stp2pstn_out_total">#REF!</definedName>
    <definedName name="stp2scp_inc_total">#REF!</definedName>
    <definedName name="stp2scp_max">#REF!</definedName>
    <definedName name="stp2scp_out_total">#REF!</definedName>
    <definedName name="stp2sdp_inc_total">#REF!</definedName>
    <definedName name="stp2sdp_max">#REF!</definedName>
    <definedName name="stp2sdp_out_total">#REF!</definedName>
    <definedName name="stp2sgsn_inc_total">#REF!</definedName>
    <definedName name="stp2sgsn_max">#REF!</definedName>
    <definedName name="stp2sgsn_out_total">#REF!</definedName>
    <definedName name="stp2ssp_inc_total">#REF!</definedName>
    <definedName name="stp2ssp_max">#REF!</definedName>
    <definedName name="stp2ssp_out_total">#REF!</definedName>
    <definedName name="stp2tra_inc_total">#REF!</definedName>
    <definedName name="stp2tra_max">#REF!</definedName>
    <definedName name="stp2tra_out_total">#REF!</definedName>
    <definedName name="STPLoad_21211">#REF!</definedName>
    <definedName name="STPLoad_21220">#REF!</definedName>
    <definedName name="STPLoad_21225">#REF!</definedName>
    <definedName name="STPLoad_21230">#REF!</definedName>
    <definedName name="STPtraff_21211">#REF!</definedName>
    <definedName name="STPtraff_21220">#REF!</definedName>
    <definedName name="STPtraff_21225">#REF!</definedName>
    <definedName name="STPTraff_21230">#REF!</definedName>
    <definedName name="Sub">#REF!</definedName>
    <definedName name="Subrack">#REF!</definedName>
    <definedName name="Subracks">#REF!</definedName>
    <definedName name="SubtituloDocumento">#REF!</definedName>
    <definedName name="Sumidero_cromado_de_2">#REF!</definedName>
    <definedName name="SUP">#REF!</definedName>
    <definedName name="SUP_ART">#REF!</definedName>
    <definedName name="Sup_Presence_Users">#REF!</definedName>
    <definedName name="Superestructura">#REF!</definedName>
    <definedName name="supervision">#REF!</definedName>
    <definedName name="supp_items">#REF!</definedName>
    <definedName name="SupplyInterest">#REF!</definedName>
    <definedName name="SupplyInterest___0">#REF!</definedName>
    <definedName name="supported_users_MM">#REF!</definedName>
    <definedName name="SUR">#REF!</definedName>
    <definedName name="SUS_ISDN">#REF!</definedName>
    <definedName name="SUS_isdne">#REF!</definedName>
    <definedName name="SUS_POTS">#REF!</definedName>
    <definedName name="SUS_potsisdn">#REF!</definedName>
    <definedName name="SW_disc">#REF!</definedName>
    <definedName name="SWbasico">#REF!</definedName>
    <definedName name="Switched_E">#REF!</definedName>
    <definedName name="SYS_MDMS_104">#REF!</definedName>
    <definedName name="SYS_MDMS_264">#REF!</definedName>
    <definedName name="SYS_MDMS_284">#REF!</definedName>
    <definedName name="SYS_MDMS_354">#REF!</definedName>
    <definedName name="SYS_MDMS_374">#REF!</definedName>
    <definedName name="systemn2">#REF!</definedName>
    <definedName name="SYSTEMS">#REF!</definedName>
    <definedName name="SystemV3">#REF!</definedName>
    <definedName name="t">#REF!</definedName>
    <definedName name="T_01">#REF!</definedName>
    <definedName name="T_02">#REF!</definedName>
    <definedName name="T_03">#REF!</definedName>
    <definedName name="T_04">#REF!</definedName>
    <definedName name="T_1">#REF!</definedName>
    <definedName name="TABELAO">#REF!</definedName>
    <definedName name="TABLA">#REF!</definedName>
    <definedName name="Tabla_de_motivos_de__No_computar_ahorros">#REF!</definedName>
    <definedName name="TABLAS">#REF!</definedName>
    <definedName name="TABLE_25">#REF!</definedName>
    <definedName name="TABLE_27">#REF!</definedName>
    <definedName name="TABLE_29">#REF!</definedName>
    <definedName name="table_2linksets_2048">#REF!</definedName>
    <definedName name="table_2linksets_56">#REF!</definedName>
    <definedName name="table_2linksets_64">#REF!</definedName>
    <definedName name="TABLE_31">#REF!</definedName>
    <definedName name="TABLE_57">#REF!</definedName>
    <definedName name="TABLE_59">#REF!</definedName>
    <definedName name="TABLE_61">#REF!</definedName>
    <definedName name="TABLE_63">#REF!</definedName>
    <definedName name="TABLE_65">#REF!</definedName>
    <definedName name="TABLE_67">#REF!</definedName>
    <definedName name="TABLE_69">#REF!</definedName>
    <definedName name="TABLE_71">#REF!</definedName>
    <definedName name="Tablero_Eléctrico_de_18_polos">#REF!</definedName>
    <definedName name="TAC_Variable">#REF!</definedName>
    <definedName name="TagBid1">#REF!</definedName>
    <definedName name="tagbid1ext">#REF!</definedName>
    <definedName name="tagbid1UnevalCost">#REF!</definedName>
    <definedName name="tagbid1unit">#REF!</definedName>
    <definedName name="TagBid2">#REF!</definedName>
    <definedName name="tagbid2ext">#REF!</definedName>
    <definedName name="tagbid2UnEvalCost">#REF!</definedName>
    <definedName name="tagbid2unit">#REF!</definedName>
    <definedName name="TagBid3">#REF!</definedName>
    <definedName name="tagbid3ext">#REF!</definedName>
    <definedName name="tagBid3UnevalCost">#REF!</definedName>
    <definedName name="tagbid3unit">#REF!</definedName>
    <definedName name="TagBid4">#REF!</definedName>
    <definedName name="tagbid4ext">#REF!</definedName>
    <definedName name="tagBid4UnEvalCost">#REF!</definedName>
    <definedName name="tagbid4unit">#REF!</definedName>
    <definedName name="TagBidRange">#REF!</definedName>
    <definedName name="TagCurrency_conversion_factor">#REF!</definedName>
    <definedName name="TagDescription">#REF!</definedName>
    <definedName name="tagid">#REF!</definedName>
    <definedName name="TagLineNo">#REF!</definedName>
    <definedName name="TagQuantity">#REF!</definedName>
    <definedName name="TagRefer">#REF!</definedName>
    <definedName name="tagunit">#REF!</definedName>
    <definedName name="Tapa_ciega_domino">#REF!</definedName>
    <definedName name="Tapon_CPVC_de_1_2">#REF!</definedName>
    <definedName name="Tax_rate">#REF!</definedName>
    <definedName name="tblPartTableMaintenance">#REF!</definedName>
    <definedName name="TC">#REF!</definedName>
    <definedName name="tc_dev">#REF!</definedName>
    <definedName name="tc_traffic">#REF!</definedName>
    <definedName name="TC1___0">#REF!</definedName>
    <definedName name="TC1___1">#REF!</definedName>
    <definedName name="TC1___10">#REF!</definedName>
    <definedName name="TC1___11">#REF!</definedName>
    <definedName name="TC1___12">#REF!</definedName>
    <definedName name="TC1___2">#REF!</definedName>
    <definedName name="TC1___3">#REF!</definedName>
    <definedName name="TC1___4">#REF!</definedName>
    <definedName name="TC1___5">#REF!</definedName>
    <definedName name="TC1___6">#REF!</definedName>
    <definedName name="TC1___7">#REF!</definedName>
    <definedName name="TC2___0">#REF!</definedName>
    <definedName name="TC2___1">#REF!</definedName>
    <definedName name="TC2___10">#REF!</definedName>
    <definedName name="TC2___11">#REF!</definedName>
    <definedName name="TC2___12">#REF!</definedName>
    <definedName name="TC2___2">#REF!</definedName>
    <definedName name="TC2___3">#REF!</definedName>
    <definedName name="TC2___4">#REF!</definedName>
    <definedName name="TC2___5">#REF!</definedName>
    <definedName name="TC2___6">#REF!</definedName>
    <definedName name="TC2___7">#REF!</definedName>
    <definedName name="TD">#REF!</definedName>
    <definedName name="tdta_SortTransferOFFIT">#REF!</definedName>
    <definedName name="tdta_SortTransferOFFIT___0">#REF!</definedName>
    <definedName name="tdta_SortTransferOFFIT___1">#REF!</definedName>
    <definedName name="tdta_SortTransferOFFIT___10">#REF!</definedName>
    <definedName name="tdta_SortTransferOFFIT___11">#REF!</definedName>
    <definedName name="tdta_SortTransferOFFIT___12">#REF!</definedName>
    <definedName name="tdta_SortTransferOFFIT___2">#REF!</definedName>
    <definedName name="tdta_SortTransferOFFIT___3">#REF!</definedName>
    <definedName name="tdta_SortTransferOFFIT___4">#REF!</definedName>
    <definedName name="tdta_SortTransferOFFIT___5">#REF!</definedName>
    <definedName name="tdta_SortTransferOFFIT___6">#REF!</definedName>
    <definedName name="tdta_SortTransferOFFIT___7">#REF!</definedName>
    <definedName name="TecnicoNacional">#REF!</definedName>
    <definedName name="TecnicoNacionalNera">#REF!</definedName>
    <definedName name="Tee_CPVC_de_1_2">#REF!</definedName>
    <definedName name="Teflón_de____ROJO">#REF!</definedName>
    <definedName name="Tel">#REF!</definedName>
    <definedName name="tequipos">#REF!</definedName>
    <definedName name="Terma_SOLE_EVOLUCION_horizontal_de_110lts.">#REF!</definedName>
    <definedName name="Terminal_a_caja_PVC_SAP_de_1_1_2">#REF!</definedName>
    <definedName name="Test" localSheetId="2" hidden="1">{"'Edit'!$A$1:$V$2277"}</definedName>
    <definedName name="Test" hidden="1">{"'Edit'!$A$1:$V$2277"}</definedName>
    <definedName name="TGA">#REF!</definedName>
    <definedName name="tgastgen">#REF!</definedName>
    <definedName name="Thinner_STANDAR_A_GRANEL">#REF!</definedName>
    <definedName name="Tillbehörsavrundning">#REF!</definedName>
    <definedName name="Timbre_DIN_DON_TICINO">#REF!</definedName>
    <definedName name="TIPO">#REF!</definedName>
    <definedName name="TIPO_DE_CAMBIO">#REF!</definedName>
    <definedName name="tipo_pintura">#REF!</definedName>
    <definedName name="Tipo_Presupuesto">#REF!</definedName>
    <definedName name="tit">#REF!</definedName>
    <definedName name="title">#REF!</definedName>
    <definedName name="TituloDocumento">#REF!</definedName>
    <definedName name="_xlnm.Print_Titles" localSheetId="2">#REF!</definedName>
    <definedName name="_xlnm.Print_Titles" localSheetId="1">'Presupuesto Noc Transporte'!$8:$8</definedName>
    <definedName name="_xlnm.Print_Titles">#REF!</definedName>
    <definedName name="TM_SERVICES" localSheetId="2">#REF!</definedName>
    <definedName name="TM_SERVICES">#REF!</definedName>
    <definedName name="tmanobra">#REF!</definedName>
    <definedName name="tmateriales">#REF!</definedName>
    <definedName name="TMM" localSheetId="2" hidden="1">{#N/A,#N/A,TRUE,"pd_SSS";#N/A,#N/A,TRUE,"fo_SSS";#N/A,#N/A,TRUE,"eqpt_SSS";#N/A,#N/A,TRUE,"ftrs_SSS"}</definedName>
    <definedName name="TMM" hidden="1">{#N/A,#N/A,TRUE,"pd_SSS";#N/A,#N/A,TRUE,"fo_SSS";#N/A,#N/A,TRUE,"eqpt_SSS";#N/A,#N/A,TRUE,"ftrs_SSS"}</definedName>
    <definedName name="TMP">#REF!</definedName>
    <definedName name="Tomacorriente_4_VIAS_MODUS">#REF!</definedName>
    <definedName name="Tot_callss">#REF!</definedName>
    <definedName name="Tot_callss_sub">#REF!</definedName>
    <definedName name="Tot_EMMcalls">#REF!</definedName>
    <definedName name="tot_lines_Bch">#REF!</definedName>
    <definedName name="Tot_MSU_required">#REF!</definedName>
    <definedName name="Tot_subs_traffic">#REF!</definedName>
    <definedName name="Tot_trunk_traffic">#REF!</definedName>
    <definedName name="TOTAL">#REF!</definedName>
    <definedName name="Total_Cost_Equip_Imp">#REF!</definedName>
    <definedName name="Total_Cost_Equip_Nac">#REF!</definedName>
    <definedName name="Total_Cost_Software">#REF!</definedName>
    <definedName name="Total_FCA_Equip_Imp">#REF!</definedName>
    <definedName name="Total_FCA_Equip_Imp_com_PC">#REF!</definedName>
    <definedName name="Total_FCA_Equip_Nac">#REF!</definedName>
    <definedName name="Total_FCA_Equip_Nac_com_PC">#REF!</definedName>
    <definedName name="Total_FCA_Servicos">#REF!</definedName>
    <definedName name="Total_FCA_Software_com_PC">#REF!</definedName>
    <definedName name="Total_List_Price_Equip_Imp">#REF!</definedName>
    <definedName name="Total_List_Price_Equip_Nac">#REF!</definedName>
    <definedName name="Total_List_Price_Software">#REF!</definedName>
    <definedName name="TotalDrawn">#REF!</definedName>
    <definedName name="TotalDrawn___0">#REF!</definedName>
    <definedName name="totaldrawnmitsui">#REF!</definedName>
    <definedName name="totaldrawnmitsui___0">#REF!</definedName>
    <definedName name="TP">#REF!</definedName>
    <definedName name="TP_E">#REF!</definedName>
    <definedName name="TP_per_HSS_config">#REF!</definedName>
    <definedName name="tpintura">#REF!</definedName>
    <definedName name="TPV_1322">'[12]1515'!#REF!</definedName>
    <definedName name="TPV_1631">'[12]1515'!#REF!</definedName>
    <definedName name="TPV_1631MX">'[12]1515'!#REF!</definedName>
    <definedName name="TPV_EOW">'[12]1515'!#REF!</definedName>
    <definedName name="TPV_MAT">'[12]1515'!#REF!</definedName>
    <definedName name="TPV_MECA">'[12]1515'!#REF!</definedName>
    <definedName name="TPV_SERV">'[12]1515'!#REF!</definedName>
    <definedName name="TPV_SF140">'[12]1515'!#REF!</definedName>
    <definedName name="TPV_SMX43">'[12]1515'!#REF!</definedName>
    <definedName name="TR00">#REF!</definedName>
    <definedName name="TR4P">#REF!</definedName>
    <definedName name="traff_emg">#REF!</definedName>
    <definedName name="traff_for_table">#REF!</definedName>
    <definedName name="traff_from_table_hl">#REF!</definedName>
    <definedName name="traff_from_table_nl">#REF!</definedName>
    <definedName name="Trafico">#REF!</definedName>
    <definedName name="Training">#REF!</definedName>
    <definedName name="Trampa_c_r_de_1_1_2___PVC">#REF!</definedName>
    <definedName name="TRANS_LOC">#REF!</definedName>
    <definedName name="TRANS_NAL">#REF!</definedName>
    <definedName name="transcoder_circuits">#REF!</definedName>
    <definedName name="transcoder_traffic">#REF!</definedName>
    <definedName name="Transfer_Price_to">#REF!</definedName>
    <definedName name="Transit">#REF!</definedName>
    <definedName name="TRANSMISION">#REF!</definedName>
    <definedName name="Transmisor_de_auto_puerta_levadiza">#REF!</definedName>
    <definedName name="TreatmentAn">#REF!</definedName>
    <definedName name="TreatmentAnDuration">#REF!</definedName>
    <definedName name="Trial1">#REF!</definedName>
    <definedName name="Trial2">#REF!</definedName>
    <definedName name="TRMP_1322">'[12]1515'!#REF!</definedName>
    <definedName name="TRMP_1631">'[12]1515'!#REF!</definedName>
    <definedName name="TRMP_1631MX">'[12]1515'!#REF!</definedName>
    <definedName name="TRMP_EOW">'[12]1515'!#REF!</definedName>
    <definedName name="TRMP_MAT">'[12]1515'!#REF!</definedName>
    <definedName name="TRMP_MECA">'[12]1515'!#REF!</definedName>
    <definedName name="TRMP_SERV">'[12]1515'!#REF!</definedName>
    <definedName name="TRMP_SF140">'[12]1515'!#REF!</definedName>
    <definedName name="TRMP_SMX43">'[12]1515'!#REF!</definedName>
    <definedName name="TRUSSES">#REF!</definedName>
    <definedName name="TRX">#REF!</definedName>
    <definedName name="trx2ch">#REF!</definedName>
    <definedName name="tseguridad">#REF!</definedName>
    <definedName name="TSM">#REF!</definedName>
    <definedName name="tsubcontrato">#REF!</definedName>
    <definedName name="TT">#REF!</definedName>
    <definedName name="TT_inc">#REF!</definedName>
    <definedName name="TT_int">#REF!</definedName>
    <definedName name="TT_out">#REF!</definedName>
    <definedName name="TT_tran">#REF!</definedName>
    <definedName name="tton_mag_1">#REF!</definedName>
    <definedName name="tton_mag_2">#REF!</definedName>
    <definedName name="ttransporte">#REF!</definedName>
    <definedName name="TTRBS">#REF!</definedName>
    <definedName name="Tubo_CPVC_de">#REF!</definedName>
    <definedName name="Tubo_FLEX_3_4">#REF!</definedName>
    <definedName name="tutilidad">#REF!</definedName>
    <definedName name="tviaticos">#REF!</definedName>
    <definedName name="TW_VPN_Conf">#REF!</definedName>
    <definedName name="TWC_PSTN">#REF!</definedName>
    <definedName name="TWCCalls">#REF!</definedName>
    <definedName name="TWCDur">#REF!</definedName>
    <definedName name="Typ">#REF!</definedName>
    <definedName name="TypeSiteTable">#REF!</definedName>
    <definedName name="U">#REF!</definedName>
    <definedName name="U_1">'[12]1515'!#REF!</definedName>
    <definedName name="U_2">'[12]1515'!#REF!</definedName>
    <definedName name="U_3">'[12]1515'!#REF!</definedName>
    <definedName name="U_4">'[12]1515'!$L$7</definedName>
    <definedName name="u2c">#REF!</definedName>
    <definedName name="UN">#REF!</definedName>
    <definedName name="Unión_FG_de_2">#REF!</definedName>
    <definedName name="UNO_Price_G15">#REF!</definedName>
    <definedName name="UNO_Price_G16">#REF!</definedName>
    <definedName name="UNO_Software_G15">#REF!</definedName>
    <definedName name="UNO_Software_G16">#REF!</definedName>
    <definedName name="unsuccessful">#REF!</definedName>
    <definedName name="UOM">OFFSET([7]UOM!$A$2,0,0,COUNTA([7]UOM!$A:$A))</definedName>
    <definedName name="UP_AirT_TM4">#REF!</definedName>
    <definedName name="UP_LC_STM4_AP">#REF!</definedName>
    <definedName name="UsageLoad_21211">#REF!</definedName>
    <definedName name="UsageLoad_21220">#REF!</definedName>
    <definedName name="UsageLoad_21225">#REF!</definedName>
    <definedName name="UsageLoad_21230">#REF!</definedName>
    <definedName name="USD_COL">#REF!</definedName>
    <definedName name="USD_EURO">#REF!</definedName>
    <definedName name="USD_NOK">#REF!</definedName>
    <definedName name="USDperEUR">#REF!</definedName>
    <definedName name="USDperEURspot">#REF!</definedName>
    <definedName name="user_logins_CommPilot">#REF!</definedName>
    <definedName name="UserHoldTime">#REF!</definedName>
    <definedName name="users_modify_passwd">#REF!</definedName>
    <definedName name="users_per_MGW_resource">#REF!</definedName>
    <definedName name="Users_per_suggested_MGCconfiguration">#REF!</definedName>
    <definedName name="users_supported_AS">#REF!</definedName>
    <definedName name="users_supported_CS_conf.">#REF!</definedName>
    <definedName name="users_supported_DNS">#REF!</definedName>
    <definedName name="users_supported_for_the_MSconf.">#REF!</definedName>
    <definedName name="users_supported_HSS">#REF!</definedName>
    <definedName name="Users_supported_per_MGC_configuration">#REF!</definedName>
    <definedName name="Users_supported_per_MGW_configuration">#REF!</definedName>
    <definedName name="uss">#REF!</definedName>
    <definedName name="UTL">#REF!</definedName>
    <definedName name="UUS">#REF!</definedName>
    <definedName name="UUS_E">#REF!</definedName>
    <definedName name="valor_consumibles">#REF!</definedName>
    <definedName name="valor_nomina2">#REF!</definedName>
    <definedName name="valor_nomina3">#REF!</definedName>
    <definedName name="Válvula_check_de_1_2">#REF!</definedName>
    <definedName name="VANITORIOS">#REF!</definedName>
    <definedName name="VANOS">#REF!</definedName>
    <definedName name="Varilla_de_Contrucción_de_1_2">#REF!</definedName>
    <definedName name="VE">#REF!</definedName>
    <definedName name="Vehiculo">#REF!</definedName>
    <definedName name="VehiculoConductor">#REF!</definedName>
    <definedName name="VENTANAS">#REF!</definedName>
    <definedName name="Ventas">#REF!</definedName>
    <definedName name="VerCount">#REF!</definedName>
    <definedName name="VERSÃO">#REF!</definedName>
    <definedName name="Versions">#REF!</definedName>
    <definedName name="VI">#REF!</definedName>
    <definedName name="ViaticosIngeniero">#REF!</definedName>
    <definedName name="ViaticosIngenieroExtrang">#REF!</definedName>
    <definedName name="ViaticosTecnico">#REF!</definedName>
    <definedName name="Vidrio_Cristal__INCOLORO_de_6mm">#REF!</definedName>
    <definedName name="Vista_Pantalla">#REF!</definedName>
    <definedName name="VMIAvgMsgDur">#REF!</definedName>
    <definedName name="VNI">#REF!</definedName>
    <definedName name="VNIM">#REF!</definedName>
    <definedName name="VoicePortal">#REF!</definedName>
    <definedName name="VoicePortalDuration">#REF!</definedName>
    <definedName name="Volquetada_de_Arena_Fina">#REF!</definedName>
    <definedName name="volta_para_tela_principal">#N/A</definedName>
    <definedName name="VPN_BHCA">#REF!</definedName>
    <definedName name="VS">#REF!</definedName>
    <definedName name="vvvvvvvvvvvvvvvvv" localSheetId="2" hidden="1">{"HW",#N/A,FALSE,"1998"}</definedName>
    <definedName name="vvvvvvvvvvvvvvvvv" hidden="1">{"HW",#N/A,FALSE,"1998"}</definedName>
    <definedName name="WATT">#REF!</definedName>
    <definedName name="WCC" localSheetId="2" hidden="1">{#N/A,#N/A,TRUE,"Report"}</definedName>
    <definedName name="WCC" hidden="1">{#N/A,#N/A,TRUE,"Report"}</definedName>
    <definedName name="Web_Server">#REF!</definedName>
    <definedName name="WHATS" localSheetId="2" hidden="1">{"'Edit'!$A$1:$V$2277"}</definedName>
    <definedName name="WHATS" hidden="1">{"'Edit'!$A$1:$V$2277"}</definedName>
    <definedName name="Windex_LIMPIA_VIDRIO">#REF!</definedName>
    <definedName name="Wippe">#REF!</definedName>
    <definedName name="workshop">#REF!</definedName>
    <definedName name="wrn.Capacity._.Calculations._.for._.FM3." localSheetId="2" hidden="1">{#N/A,#N/A,TRUE,"Report"}</definedName>
    <definedName name="wrn.Capacity._.Calculations._.for._.FM3." hidden="1">{#N/A,#N/A,TRUE,"Report"}</definedName>
    <definedName name="wrn.civil._.works." localSheetId="2" hidden="1">{#N/A,#N/A,TRUE,"1842CWN0"}</definedName>
    <definedName name="wrn.civil._.works." hidden="1">{#N/A,#N/A,TRUE,"1842CWN0"}</definedName>
    <definedName name="wrn.forecast." localSheetId="2" hidden="1">{#N/A,#N/A,FALSE,"model"}</definedName>
    <definedName name="wrn.forecast." hidden="1">{#N/A,#N/A,FALSE,"model"}</definedName>
    <definedName name="wrn.forecast2" localSheetId="2" hidden="1">{#N/A,#N/A,FALSE,"model"}</definedName>
    <definedName name="wrn.forecast2" hidden="1">{#N/A,#N/A,FALSE,"model"}</definedName>
    <definedName name="wrn.forecastassumptions." localSheetId="2" hidden="1">{#N/A,#N/A,FALSE,"model"}</definedName>
    <definedName name="wrn.forecastassumptions." hidden="1">{#N/A,#N/A,FALSE,"model"}</definedName>
    <definedName name="wrn.forecastassumptions2" localSheetId="2" hidden="1">{#N/A,#N/A,FALSE,"model"}</definedName>
    <definedName name="wrn.forecastassumptions2" hidden="1">{#N/A,#N/A,FALSE,"model"}</definedName>
    <definedName name="wrn.forecastROIC." localSheetId="2" hidden="1">{#N/A,#N/A,FALSE,"model"}</definedName>
    <definedName name="wrn.forecastROIC." hidden="1">{#N/A,#N/A,FALSE,"model"}</definedName>
    <definedName name="wrn.forecastROIC2" localSheetId="2" hidden="1">{#N/A,#N/A,FALSE,"model"}</definedName>
    <definedName name="wrn.forecastROIC2" hidden="1">{#N/A,#N/A,FALSE,"model"}</definedName>
    <definedName name="wrn.forecastROIC3" localSheetId="2" hidden="1">{#N/A,#N/A,FALSE,"model"}</definedName>
    <definedName name="wrn.forecastROIC3" hidden="1">{#N/A,#N/A,FALSE,"model"}</definedName>
    <definedName name="wrn.history." localSheetId="2" hidden="1">{#N/A,#N/A,FALSE,"model"}</definedName>
    <definedName name="wrn.history." hidden="1">{#N/A,#N/A,FALSE,"model"}</definedName>
    <definedName name="wrn.history2" localSheetId="2" hidden="1">{#N/A,#N/A,FALSE,"model"}</definedName>
    <definedName name="wrn.history2" hidden="1">{#N/A,#N/A,FALSE,"model"}</definedName>
    <definedName name="wrn.histROIC." localSheetId="2" hidden="1">{#N/A,#N/A,FALSE,"model"}</definedName>
    <definedName name="wrn.histROIC." hidden="1">{#N/A,#N/A,FALSE,"model"}</definedName>
    <definedName name="wrn.histROIC2" localSheetId="2" hidden="1">{#N/A,#N/A,FALSE,"model"}</definedName>
    <definedName name="wrn.histROIC2" hidden="1">{#N/A,#N/A,FALSE,"model"}</definedName>
    <definedName name="wrn.hojas." localSheetId="2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wrn.hojas." hidden="1">{#N/A,#N/A,FALSE,"(15) 2x2";#N/A,#N/A,FALSE,"(15) 4x2";#N/A,#N/A,FALSE,"(15) 8x2";#N/A,#N/A,FALSE,"(15) 16x2";#N/A,#N/A,FALSE,"(23) 2x2";#N/A,#N/A,FALSE,"(23) 4x2";#N/A,#N/A,FALSE,"(23) 8x2";#N/A,#N/A,FALSE,"(23) 16x2";#N/A,#N/A,FALSE,"(38) 4x2";#N/A,#N/A,FALSE,"(38) 8x2";#N/A,#N/A,FALSE,"(38) 16x2"}</definedName>
    <definedName name="wrn.HW." localSheetId="2" hidden="1">{"HW",#N/A,FALSE,"1998"}</definedName>
    <definedName name="wrn.HW." hidden="1">{"HW",#N/A,FALSE,"1998"}</definedName>
    <definedName name="wrn.LPU._.MG." localSheetId="2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Month._.Report._.Package." localSheetId="2" hidden="1">{#N/A,#N/A,FALSE,"Global Wls Trend";#N/A,#N/A,FALSE,"Region Trend";#N/A,#N/A,FALSE,"PBU Trend"}</definedName>
    <definedName name="wrn.Month._.Report._.Package." hidden="1">{#N/A,#N/A,FALSE,"Global Wls Trend";#N/A,#N/A,FALSE,"Region Trend";#N/A,#N/A,FALSE,"PBU Trend"}</definedName>
    <definedName name="wrn.Monthly._.Report._.Package." localSheetId="2" hidden="1">{#N/A,#N/A,FALSE,"Global by BU";#N/A,#N/A,FALSE,"U.S. by BU";#N/A,#N/A,FALSE,"Canada by BU";#N/A,#N/A,FALSE,"Europe by BU";#N/A,#N/A,FALSE,"Asia by BU";#N/A,#N/A,FALSE,"Cala by BU"}</definedName>
    <definedName name="wrn.Monthly._.Report._.Package." hidden="1">{#N/A,#N/A,FALSE,"Global by BU";#N/A,#N/A,FALSE,"U.S. by BU";#N/A,#N/A,FALSE,"Canada by BU";#N/A,#N/A,FALSE,"Europe by BU";#N/A,#N/A,FALSE,"Asia by BU";#N/A,#N/A,FALSE,"Cala by BU"}</definedName>
    <definedName name="wrn.msc." localSheetId="2" hidden="1">{#N/A,#N/A,TRUE,"pd_SSS";#N/A,#N/A,TRUE,"fo_SSS";#N/A,#N/A,TRUE,"eqpt_SSS";#N/A,#N/A,TRUE,"ftrs_SSS"}</definedName>
    <definedName name="wrn.msc." hidden="1">{#N/A,#N/A,TRUE,"pd_SSS";#N/A,#N/A,TRUE,"fo_SSS";#N/A,#N/A,TRUE,"eqpt_SSS";#N/A,#N/A,TRUE,"ftrs_SSS"}</definedName>
    <definedName name="wrn.msc_list." localSheetId="2" hidden="1">{#N/A,#N/A,TRUE,"pd_SSS";#N/A,#N/A,TRUE,"fo_SSS";#N/A,#N/A,TRUE,"eqpt_SSS"}</definedName>
    <definedName name="wrn.msc_list." hidden="1">{#N/A,#N/A,TRUE,"pd_SSS";#N/A,#N/A,TRUE,"fo_SSS";#N/A,#N/A,TRUE,"eqpt_SSS"}</definedName>
    <definedName name="wrn.OMS." localSheetId="2" hidden="1">{#N/A,#N/A,TRUE,"pd_OMS";#N/A,#N/A,TRUE,"fo_OMS";#N/A,#N/A,TRUE,"eqpt_OMS";#N/A,#N/A,TRUE,"ftrs_OMS"}</definedName>
    <definedName name="wrn.OMS." hidden="1">{#N/A,#N/A,TRUE,"pd_OMS";#N/A,#N/A,TRUE,"fo_OMS";#N/A,#N/A,TRUE,"eqpt_OMS";#N/A,#N/A,TRUE,"ftrs_OMS"}</definedName>
    <definedName name="wrn.print._.all." localSheetId="2" hidden="1">{#N/A,#N/A,FALSE,"$170M Cash";#N/A,#N/A,FALSE,"$250M Cash";#N/A,#N/A,FALSE,"$325M Cash"}</definedName>
    <definedName name="wrn.print._.all." hidden="1">{#N/A,#N/A,FALSE,"$170M Cash";#N/A,#N/A,FALSE,"$250M Cash";#N/A,#N/A,FALSE,"$325M Cash"}</definedName>
    <definedName name="wrn1.history" localSheetId="2" hidden="1">{#N/A,#N/A,FALSE,"model"}</definedName>
    <definedName name="wrn1.history" hidden="1">{#N/A,#N/A,FALSE,"model"}</definedName>
    <definedName name="wrn1.print._.all." localSheetId="2" hidden="1">{#N/A,#N/A,FALSE,"$170M Cash";#N/A,#N/A,FALSE,"$250M Cash";#N/A,#N/A,FALSE,"$325M Cash"}</definedName>
    <definedName name="wrn1.print._.all." hidden="1">{#N/A,#N/A,FALSE,"$170M Cash";#N/A,#N/A,FALSE,"$250M Cash";#N/A,#N/A,FALSE,"$325M Cash"}</definedName>
    <definedName name="wrn3.histroic" localSheetId="2" hidden="1">{#N/A,#N/A,FALSE,"model"}</definedName>
    <definedName name="wrn3.histroic" hidden="1">{#N/A,#N/A,FALSE,"model"}</definedName>
    <definedName name="wrt" localSheetId="2" hidden="1">{#N/A,#N/A,FALSE,"$170M Cash";#N/A,#N/A,FALSE,"$250M Cash";#N/A,#N/A,FALSE,"$325M Cash"}</definedName>
    <definedName name="wrt" hidden="1">{#N/A,#N/A,FALSE,"$170M Cash";#N/A,#N/A,FALSE,"$250M Cash";#N/A,#N/A,FALSE,"$325M Cash"}</definedName>
    <definedName name="WS_User_Cap">#REF!</definedName>
    <definedName name="wsxwsx">[5]!Macro_pf.Macro_pf</definedName>
    <definedName name="ww" localSheetId="2" hidden="1">{#N/A,#N/A,TRUE,"Report"}</definedName>
    <definedName name="ww" hidden="1">{#N/A,#N/A,TRUE,"Report"}</definedName>
    <definedName name="wwwwwwwwww" localSheetId="2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wwwwwwwwww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X">#REF!</definedName>
    <definedName name="X__cm">#REF!</definedName>
    <definedName name="xo" localSheetId="2" hidden="1">{#N/A,#N/A,FALSE,"Global by BU";#N/A,#N/A,FALSE,"U.S. by BU";#N/A,#N/A,FALSE,"Canada by BU";#N/A,#N/A,FALSE,"Europe by BU";#N/A,#N/A,FALSE,"Asia by BU";#N/A,#N/A,FALSE,"Cala by BU"}</definedName>
    <definedName name="xo" hidden="1">{#N/A,#N/A,FALSE,"Global by BU";#N/A,#N/A,FALSE,"U.S. by BU";#N/A,#N/A,FALSE,"Canada by BU";#N/A,#N/A,FALSE,"Europe by BU";#N/A,#N/A,FALSE,"Asia by BU";#N/A,#N/A,FALSE,"Cala by BU"}</definedName>
    <definedName name="xx" localSheetId="2">{"'IUM'!$Q$62"}</definedName>
    <definedName name="xx">{"'IUM'!$Q$62"}</definedName>
    <definedName name="xxx">#REF!</definedName>
    <definedName name="xxxxxxxxxxxx" localSheetId="2" hidden="1">{"'Edit'!$A$1:$V$2277"}</definedName>
    <definedName name="xxxxxxxxxxxx" hidden="1">{"'Edit'!$A$1:$V$2277"}</definedName>
    <definedName name="Y">#REF!</definedName>
    <definedName name="Y_N">#REF!</definedName>
    <definedName name="YABAR" localSheetId="2" hidden="1">{#N/A,#N/A,TRUE,"pd_SSS";#N/A,#N/A,TRUE,"fo_SSS";#N/A,#N/A,TRUE,"eqpt_SSS";#N/A,#N/A,TRUE,"ftrs_SSS"}</definedName>
    <definedName name="YABAR" hidden="1">{#N/A,#N/A,TRUE,"pd_SSS";#N/A,#N/A,TRUE,"fo_SSS";#N/A,#N/A,TRUE,"eqpt_SSS";#N/A,#N/A,TRUE,"ftrs_SSS"}</definedName>
    <definedName name="Year0">#REF!</definedName>
    <definedName name="year1">#REF!</definedName>
    <definedName name="year2">#REF!</definedName>
    <definedName name="Yee_PVC_DOBLE__SAL_de_4">#REF!</definedName>
    <definedName name="Yeso_CERAMICO">#REF!</definedName>
    <definedName name="YU">#REF!</definedName>
    <definedName name="ZETA">#REF!</definedName>
    <definedName name="ZONA_N__4">#REF!</definedName>
    <definedName name="zona1">#REF!</definedName>
    <definedName name="zona10">#REF!</definedName>
    <definedName name="ZonasbusquedaporAgente">#REF!</definedName>
    <definedName name="Zuschlagsfaktor_für_Produktkosten_SSS">#REF!</definedName>
    <definedName name="Zuschlagsfaktor_für_Produktkosten_SSS___0">#REF!</definedName>
    <definedName name="Zuschlagsfaktor_für_Produktkosten_SSS___1">#REF!</definedName>
    <definedName name="Zuschlagsfaktor_für_Produktkosten_SSS___10">#REF!</definedName>
    <definedName name="Zuschlagsfaktor_für_Produktkosten_SSS___11">#REF!</definedName>
    <definedName name="Zuschlagsfaktor_für_Produktkosten_SSS___12">#REF!</definedName>
    <definedName name="Zuschlagsfaktor_für_Produktkosten_SSS___2">#REF!</definedName>
    <definedName name="Zuschlagsfaktor_für_Produktkosten_SSS___3">#REF!</definedName>
    <definedName name="Zuschlagsfaktor_für_Produktkosten_SSS___4">#REF!</definedName>
    <definedName name="Zuschlagsfaktor_für_Produktkosten_SSS___5">#REF!</definedName>
    <definedName name="Zuschlagsfaktor_für_Produktkosten_SSS___6">#REF!</definedName>
    <definedName name="Zuschlagsfaktor_für_Produktkosten_SSS___7">#REF!</definedName>
    <definedName name="zzzzzzzzzzzzzzzzzzzzzzzzzzzzz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2" i="5" l="1"/>
  <c r="F211" i="5"/>
  <c r="G210" i="5" l="1"/>
  <c r="C11" i="7" s="1"/>
  <c r="B10" i="7"/>
  <c r="F127" i="5"/>
  <c r="F126" i="5"/>
  <c r="F160" i="5"/>
  <c r="F94" i="5"/>
  <c r="F95" i="5"/>
  <c r="F209" i="5"/>
  <c r="G208" i="5" s="1"/>
  <c r="C10" i="7" s="1"/>
  <c r="F164" i="5"/>
  <c r="F74" i="5"/>
  <c r="F44" i="5"/>
  <c r="F34" i="5"/>
  <c r="B9" i="7" l="1"/>
  <c r="F173" i="5"/>
  <c r="F142" i="5" l="1"/>
  <c r="D184" i="3"/>
  <c r="G184" i="3" s="1"/>
  <c r="H184" i="3" s="1"/>
  <c r="F153" i="5"/>
  <c r="L1133" i="8"/>
  <c r="H86" i="8"/>
  <c r="F125" i="5"/>
  <c r="F124" i="5"/>
  <c r="F123" i="5" l="1"/>
  <c r="F152" i="5" l="1"/>
  <c r="F154" i="5"/>
  <c r="F155" i="5"/>
  <c r="F110" i="5" l="1"/>
  <c r="E1100" i="8"/>
  <c r="G181" i="3"/>
  <c r="G180" i="3"/>
  <c r="G179" i="3"/>
  <c r="H2" i="3"/>
  <c r="F195" i="5"/>
  <c r="F134" i="5" l="1"/>
  <c r="H1584" i="8" l="1"/>
  <c r="G1201" i="8"/>
  <c r="H1201" i="8" s="1"/>
  <c r="I1200" i="8" s="1"/>
  <c r="F73" i="5" s="1"/>
  <c r="I1141" i="8"/>
  <c r="E959" i="8"/>
  <c r="H909" i="8"/>
  <c r="H908" i="8"/>
  <c r="H907" i="8"/>
  <c r="H906" i="8"/>
  <c r="H905" i="8"/>
  <c r="H818" i="8"/>
  <c r="H820" i="8"/>
  <c r="H822" i="8"/>
  <c r="E823" i="8"/>
  <c r="H823" i="8" s="1"/>
  <c r="E821" i="8"/>
  <c r="H821" i="8" s="1"/>
  <c r="E819" i="8"/>
  <c r="H819" i="8" s="1"/>
  <c r="E817" i="8"/>
  <c r="H817" i="8" s="1"/>
  <c r="E814" i="8"/>
  <c r="H814" i="8" s="1"/>
  <c r="H816" i="8"/>
  <c r="H658" i="8"/>
  <c r="H659" i="8"/>
  <c r="H657" i="8"/>
  <c r="H656" i="8"/>
  <c r="H655" i="8"/>
  <c r="H12" i="8"/>
  <c r="H11" i="8"/>
  <c r="H10" i="8"/>
  <c r="H9" i="8"/>
  <c r="M22" i="3"/>
  <c r="L22" i="3"/>
  <c r="E815" i="8" l="1"/>
  <c r="H815" i="8" s="1"/>
  <c r="I8" i="8"/>
  <c r="F157" i="5"/>
  <c r="F158" i="5"/>
  <c r="G156" i="5" l="1"/>
  <c r="D8" i="3"/>
  <c r="G8" i="3" s="1"/>
  <c r="H1591" i="8"/>
  <c r="H1590" i="8"/>
  <c r="H1589" i="8"/>
  <c r="H1588" i="8"/>
  <c r="H1583" i="8"/>
  <c r="H1582" i="8"/>
  <c r="E1579" i="8"/>
  <c r="H1579" i="8" s="1"/>
  <c r="H1578" i="8"/>
  <c r="H1577" i="8"/>
  <c r="D1574" i="8"/>
  <c r="H1574" i="8" s="1"/>
  <c r="E1573" i="8"/>
  <c r="D1573" i="8"/>
  <c r="D1572" i="8"/>
  <c r="H1572" i="8" s="1"/>
  <c r="D1571" i="8"/>
  <c r="H1571" i="8" s="1"/>
  <c r="D1570" i="8"/>
  <c r="H1570" i="8" s="1"/>
  <c r="E1569" i="8"/>
  <c r="D1569" i="8"/>
  <c r="D1568" i="8"/>
  <c r="H1568" i="8" s="1"/>
  <c r="D1567" i="8"/>
  <c r="H1567" i="8" s="1"/>
  <c r="G1585" i="8" l="1"/>
  <c r="H1569" i="8"/>
  <c r="H1573" i="8"/>
  <c r="G1575" i="8" l="1"/>
  <c r="H1575" i="8" s="1"/>
  <c r="I1565" i="8" s="1"/>
  <c r="D221" i="3"/>
  <c r="D177" i="3"/>
  <c r="G177" i="3" s="1"/>
  <c r="D176" i="3"/>
  <c r="G176" i="3" s="1"/>
  <c r="D156" i="3"/>
  <c r="G156" i="3" s="1"/>
  <c r="D157" i="3"/>
  <c r="G157" i="3" s="1"/>
  <c r="D200" i="3" l="1"/>
  <c r="H176" i="3"/>
  <c r="F188" i="5" s="1"/>
  <c r="D225" i="3"/>
  <c r="D217" i="3"/>
  <c r="D206" i="3"/>
  <c r="D202" i="3"/>
  <c r="G202" i="3" s="1"/>
  <c r="H202" i="3" s="1"/>
  <c r="F145" i="5" s="1"/>
  <c r="D205" i="3"/>
  <c r="G214" i="3"/>
  <c r="H214" i="3" s="1"/>
  <c r="D207" i="3"/>
  <c r="D201" i="3"/>
  <c r="G201" i="3" s="1"/>
  <c r="H201" i="3" s="1"/>
  <c r="F144" i="5" s="1"/>
  <c r="D193" i="3" l="1"/>
  <c r="G193" i="3" s="1"/>
  <c r="D192" i="3"/>
  <c r="G192" i="3" s="1"/>
  <c r="D191" i="3"/>
  <c r="G191" i="3" s="1"/>
  <c r="D190" i="3"/>
  <c r="D189" i="3"/>
  <c r="D188" i="3"/>
  <c r="D187" i="3"/>
  <c r="D152" i="3"/>
  <c r="D138" i="3" s="1"/>
  <c r="G138" i="3" s="1"/>
  <c r="D151" i="3"/>
  <c r="D137" i="3" s="1"/>
  <c r="D167" i="3"/>
  <c r="G167" i="3" s="1"/>
  <c r="D166" i="3"/>
  <c r="D147" i="3" s="1"/>
  <c r="D165" i="3"/>
  <c r="D146" i="3" s="1"/>
  <c r="D164" i="3"/>
  <c r="D145" i="3" s="1"/>
  <c r="D163" i="3"/>
  <c r="D144" i="3" s="1"/>
  <c r="D162" i="3"/>
  <c r="D143" i="3" s="1"/>
  <c r="D161" i="3"/>
  <c r="D142" i="3" s="1"/>
  <c r="G142" i="3" s="1"/>
  <c r="H180" i="3"/>
  <c r="D173" i="3"/>
  <c r="D154" i="3"/>
  <c r="D155" i="3"/>
  <c r="D153" i="3"/>
  <c r="G153" i="3" s="1"/>
  <c r="G133" i="3"/>
  <c r="H133" i="3" s="1"/>
  <c r="D55" i="3"/>
  <c r="G55" i="3" s="1"/>
  <c r="D57" i="3"/>
  <c r="G57" i="3" s="1"/>
  <c r="D61" i="3"/>
  <c r="G61" i="3" s="1"/>
  <c r="D62" i="3"/>
  <c r="G62" i="3" s="1"/>
  <c r="D73" i="3"/>
  <c r="G73" i="3" s="1"/>
  <c r="D74" i="3"/>
  <c r="G74" i="3" s="1"/>
  <c r="D76" i="3"/>
  <c r="G76" i="3" s="1"/>
  <c r="D79" i="3"/>
  <c r="G79" i="3" s="1"/>
  <c r="D80" i="3"/>
  <c r="G80" i="3" s="1"/>
  <c r="D83" i="3"/>
  <c r="G83" i="3" s="1"/>
  <c r="D84" i="3"/>
  <c r="G84" i="3" s="1"/>
  <c r="D85" i="3"/>
  <c r="G85" i="3" s="1"/>
  <c r="G109" i="3"/>
  <c r="G110" i="3"/>
  <c r="G112" i="3"/>
  <c r="G115" i="3"/>
  <c r="G116" i="3"/>
  <c r="G119" i="3"/>
  <c r="G120" i="3"/>
  <c r="G121" i="3"/>
  <c r="D118" i="3"/>
  <c r="G118" i="3" s="1"/>
  <c r="D117" i="3"/>
  <c r="D81" i="3" s="1"/>
  <c r="G81" i="3" s="1"/>
  <c r="D114" i="3"/>
  <c r="D78" i="3" s="1"/>
  <c r="G78" i="3" s="1"/>
  <c r="D113" i="3"/>
  <c r="G113" i="3" s="1"/>
  <c r="D111" i="3"/>
  <c r="D75" i="3" s="1"/>
  <c r="G75" i="3" s="1"/>
  <c r="D108" i="3"/>
  <c r="D72" i="3" s="1"/>
  <c r="G72" i="3" s="1"/>
  <c r="D107" i="3"/>
  <c r="D71" i="3" s="1"/>
  <c r="G71" i="3" s="1"/>
  <c r="D106" i="3"/>
  <c r="D70" i="3" s="1"/>
  <c r="G70" i="3" s="1"/>
  <c r="D105" i="3"/>
  <c r="D69" i="3" s="1"/>
  <c r="G69" i="3" s="1"/>
  <c r="D104" i="3"/>
  <c r="D68" i="3" s="1"/>
  <c r="G68" i="3" s="1"/>
  <c r="D103" i="3"/>
  <c r="D67" i="3" s="1"/>
  <c r="G67" i="3" s="1"/>
  <c r="D102" i="3"/>
  <c r="D66" i="3" s="1"/>
  <c r="G66" i="3" s="1"/>
  <c r="D101" i="3"/>
  <c r="D65" i="3" s="1"/>
  <c r="G65" i="3" s="1"/>
  <c r="D100" i="3"/>
  <c r="D64" i="3" s="1"/>
  <c r="G64" i="3" s="1"/>
  <c r="D99" i="3"/>
  <c r="D63" i="3" s="1"/>
  <c r="G63" i="3" s="1"/>
  <c r="D96" i="3"/>
  <c r="D60" i="3" s="1"/>
  <c r="G60" i="3" s="1"/>
  <c r="D95" i="3"/>
  <c r="D59" i="3" s="1"/>
  <c r="G59" i="3" s="1"/>
  <c r="D94" i="3"/>
  <c r="D58" i="3" s="1"/>
  <c r="G58" i="3" s="1"/>
  <c r="D92" i="3"/>
  <c r="D56" i="3" s="1"/>
  <c r="G56" i="3" s="1"/>
  <c r="D90" i="3"/>
  <c r="D54" i="3" s="1"/>
  <c r="D42" i="3"/>
  <c r="D41" i="3"/>
  <c r="G38" i="3"/>
  <c r="D37" i="3"/>
  <c r="G37" i="3" s="1"/>
  <c r="D36" i="3"/>
  <c r="D35" i="3"/>
  <c r="D32" i="3"/>
  <c r="G32" i="3" s="1"/>
  <c r="D31" i="3"/>
  <c r="G31" i="3" s="1"/>
  <c r="D28" i="3"/>
  <c r="D24" i="3"/>
  <c r="G24" i="3" s="1"/>
  <c r="D23" i="3"/>
  <c r="D17" i="3"/>
  <c r="D10" i="3"/>
  <c r="G10" i="3" s="1"/>
  <c r="H10" i="3" s="1"/>
  <c r="F165" i="5" s="1"/>
  <c r="D13" i="3"/>
  <c r="G13" i="3" s="1"/>
  <c r="H13" i="3" s="1"/>
  <c r="F168" i="5" s="1"/>
  <c r="D5" i="3"/>
  <c r="H1462" i="8"/>
  <c r="H1452" i="8"/>
  <c r="F183" i="5" l="1"/>
  <c r="F179" i="5"/>
  <c r="G173" i="3"/>
  <c r="H173" i="3" s="1"/>
  <c r="F189" i="5" s="1"/>
  <c r="F193" i="5"/>
  <c r="F191" i="5"/>
  <c r="D148" i="3"/>
  <c r="G148" i="3" s="1"/>
  <c r="G144" i="3"/>
  <c r="G145" i="3"/>
  <c r="G143" i="3"/>
  <c r="G147" i="3"/>
  <c r="G146" i="3"/>
  <c r="G163" i="3"/>
  <c r="G165" i="3"/>
  <c r="G161" i="3"/>
  <c r="G164" i="3"/>
  <c r="D139" i="3"/>
  <c r="G139" i="3" s="1"/>
  <c r="G166" i="3"/>
  <c r="G162" i="3"/>
  <c r="G111" i="3"/>
  <c r="D77" i="3"/>
  <c r="G77" i="3" s="1"/>
  <c r="G106" i="3"/>
  <c r="G114" i="3"/>
  <c r="G117" i="3"/>
  <c r="D82" i="3"/>
  <c r="G82" i="3" s="1"/>
  <c r="G108" i="3"/>
  <c r="G107" i="3"/>
  <c r="D45" i="3"/>
  <c r="H31" i="3"/>
  <c r="H1560" i="8"/>
  <c r="H1559" i="8"/>
  <c r="H1558" i="8"/>
  <c r="D1557" i="8"/>
  <c r="H1557" i="8" s="1"/>
  <c r="H1556" i="8"/>
  <c r="H1555" i="8"/>
  <c r="H1549" i="8"/>
  <c r="I1549" i="8" s="1"/>
  <c r="H1544" i="8"/>
  <c r="H1543" i="8"/>
  <c r="H1542" i="8"/>
  <c r="H1541" i="8"/>
  <c r="E1540" i="8"/>
  <c r="H1540" i="8" s="1"/>
  <c r="H1539" i="8"/>
  <c r="E1538" i="8"/>
  <c r="H1538" i="8" s="1"/>
  <c r="H1537" i="8"/>
  <c r="E1536" i="8"/>
  <c r="H1536" i="8" s="1"/>
  <c r="H1532" i="8"/>
  <c r="H1531" i="8"/>
  <c r="H1530" i="8"/>
  <c r="H1529" i="8"/>
  <c r="E1526" i="8"/>
  <c r="H1526" i="8" s="1"/>
  <c r="E1525" i="8"/>
  <c r="H1525" i="8" s="1"/>
  <c r="G1524" i="8"/>
  <c r="H1524" i="8" s="1"/>
  <c r="G1523" i="8"/>
  <c r="H1523" i="8" s="1"/>
  <c r="G1522" i="8"/>
  <c r="H1522" i="8" s="1"/>
  <c r="G1521" i="8"/>
  <c r="H1521" i="8" s="1"/>
  <c r="F1520" i="8"/>
  <c r="E1519" i="8"/>
  <c r="E1520" i="8" s="1"/>
  <c r="I1517" i="8"/>
  <c r="H1514" i="8"/>
  <c r="H1513" i="8"/>
  <c r="H1512" i="8"/>
  <c r="H1510" i="8"/>
  <c r="H1509" i="8"/>
  <c r="H1508" i="8"/>
  <c r="H1506" i="8"/>
  <c r="H1505" i="8"/>
  <c r="H1504" i="8"/>
  <c r="H1501" i="8"/>
  <c r="H1500" i="8"/>
  <c r="H1499" i="8"/>
  <c r="H1498" i="8"/>
  <c r="H1494" i="8"/>
  <c r="I1494" i="8" s="1"/>
  <c r="E1486" i="8"/>
  <c r="H1486" i="8" s="1"/>
  <c r="E1484" i="8"/>
  <c r="H1484" i="8" s="1"/>
  <c r="E1480" i="8"/>
  <c r="H1480" i="8" s="1"/>
  <c r="E1478" i="8"/>
  <c r="H1478" i="8" s="1"/>
  <c r="E1475" i="8"/>
  <c r="H1475" i="8" s="1"/>
  <c r="E1474" i="8"/>
  <c r="H1474" i="8" s="1"/>
  <c r="E1473" i="8"/>
  <c r="H1473" i="8" s="1"/>
  <c r="E1471" i="8"/>
  <c r="H1471" i="8" s="1"/>
  <c r="I1467" i="8"/>
  <c r="H1461" i="8"/>
  <c r="I1461" i="8" s="1"/>
  <c r="F93" i="5" s="1"/>
  <c r="H1451" i="8"/>
  <c r="H1450" i="8"/>
  <c r="H1448" i="8"/>
  <c r="H1447" i="8"/>
  <c r="H1446" i="8"/>
  <c r="H1445" i="8"/>
  <c r="H1443" i="8"/>
  <c r="H1442" i="8"/>
  <c r="H1441" i="8"/>
  <c r="H1439" i="8"/>
  <c r="H1435" i="8"/>
  <c r="H1434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8" i="8"/>
  <c r="H1397" i="8"/>
  <c r="H1396" i="8"/>
  <c r="H1395" i="8"/>
  <c r="H1394" i="8"/>
  <c r="H1393" i="8"/>
  <c r="H1392" i="8"/>
  <c r="H1391" i="8"/>
  <c r="H1390" i="8"/>
  <c r="H1389" i="8"/>
  <c r="H1388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4" i="8"/>
  <c r="H1363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6" i="8"/>
  <c r="H1325" i="8"/>
  <c r="H1324" i="8"/>
  <c r="H1323" i="8"/>
  <c r="H1322" i="8"/>
  <c r="H1321" i="8"/>
  <c r="H1320" i="8"/>
  <c r="H1319" i="8"/>
  <c r="H1318" i="8"/>
  <c r="H1317" i="8"/>
  <c r="H1316" i="8"/>
  <c r="H1314" i="8"/>
  <c r="H1313" i="8"/>
  <c r="H1312" i="8"/>
  <c r="H1311" i="8"/>
  <c r="H1310" i="8"/>
  <c r="E1308" i="8"/>
  <c r="H1308" i="8" s="1"/>
  <c r="E1307" i="8"/>
  <c r="H1307" i="8" s="1"/>
  <c r="E1303" i="8"/>
  <c r="H1303" i="8" s="1"/>
  <c r="E1302" i="8"/>
  <c r="H1302" i="8" s="1"/>
  <c r="E1301" i="8"/>
  <c r="H1301" i="8" s="1"/>
  <c r="E1300" i="8"/>
  <c r="H1300" i="8" s="1"/>
  <c r="H1298" i="8"/>
  <c r="E1297" i="8"/>
  <c r="H1297" i="8" s="1"/>
  <c r="E1296" i="8"/>
  <c r="H1296" i="8" s="1"/>
  <c r="E1295" i="8"/>
  <c r="H1295" i="8" s="1"/>
  <c r="E1293" i="8"/>
  <c r="H1293" i="8" s="1"/>
  <c r="E1292" i="8"/>
  <c r="H1292" i="8" s="1"/>
  <c r="E1291" i="8"/>
  <c r="H1291" i="8" s="1"/>
  <c r="E1290" i="8"/>
  <c r="H1290" i="8" s="1"/>
  <c r="E1288" i="8"/>
  <c r="H1288" i="8" s="1"/>
  <c r="E1287" i="8"/>
  <c r="H1287" i="8" s="1"/>
  <c r="E1285" i="8"/>
  <c r="H1285" i="8" s="1"/>
  <c r="E1284" i="8"/>
  <c r="H1284" i="8" s="1"/>
  <c r="E1283" i="8"/>
  <c r="H1283" i="8" s="1"/>
  <c r="E1282" i="8"/>
  <c r="H1282" i="8" s="1"/>
  <c r="E1281" i="8"/>
  <c r="H1281" i="8" s="1"/>
  <c r="G1280" i="8"/>
  <c r="E1280" i="8"/>
  <c r="G1279" i="8"/>
  <c r="E1279" i="8"/>
  <c r="G1278" i="8"/>
  <c r="E1278" i="8"/>
  <c r="G1277" i="8"/>
  <c r="E1277" i="8"/>
  <c r="G1276" i="8"/>
  <c r="E1276" i="8"/>
  <c r="G1275" i="8"/>
  <c r="E1275" i="8"/>
  <c r="H1275" i="8" s="1"/>
  <c r="G1274" i="8"/>
  <c r="E1274" i="8"/>
  <c r="G1273" i="8"/>
  <c r="E1273" i="8"/>
  <c r="G1272" i="8"/>
  <c r="E1272" i="8"/>
  <c r="G1271" i="8"/>
  <c r="E1271" i="8"/>
  <c r="G1270" i="8"/>
  <c r="E1270" i="8"/>
  <c r="G1269" i="8"/>
  <c r="E1269" i="8"/>
  <c r="G1268" i="8"/>
  <c r="E1268" i="8"/>
  <c r="G1267" i="8"/>
  <c r="E1267" i="8"/>
  <c r="H1264" i="8"/>
  <c r="H1263" i="8"/>
  <c r="G1262" i="8"/>
  <c r="H1262" i="8" s="1"/>
  <c r="H1261" i="8"/>
  <c r="G1260" i="8"/>
  <c r="H1260" i="8" s="1"/>
  <c r="G1259" i="8"/>
  <c r="H1259" i="8" s="1"/>
  <c r="G1258" i="8"/>
  <c r="H1258" i="8" s="1"/>
  <c r="G1257" i="8"/>
  <c r="H1257" i="8" s="1"/>
  <c r="G1256" i="8"/>
  <c r="H1256" i="8" s="1"/>
  <c r="G1255" i="8"/>
  <c r="H1255" i="8" s="1"/>
  <c r="G1254" i="8"/>
  <c r="H1254" i="8" s="1"/>
  <c r="G1253" i="8"/>
  <c r="H1253" i="8" s="1"/>
  <c r="G1252" i="8"/>
  <c r="H1252" i="8" s="1"/>
  <c r="G1251" i="8"/>
  <c r="H1251" i="8" s="1"/>
  <c r="G1250" i="8"/>
  <c r="H1250" i="8" s="1"/>
  <c r="G1249" i="8"/>
  <c r="H1249" i="8" s="1"/>
  <c r="G1248" i="8"/>
  <c r="H1248" i="8" s="1"/>
  <c r="G1247" i="8"/>
  <c r="H1247" i="8" s="1"/>
  <c r="G1246" i="8"/>
  <c r="H1246" i="8" s="1"/>
  <c r="G1245" i="8"/>
  <c r="H1245" i="8" s="1"/>
  <c r="G1244" i="8"/>
  <c r="H1244" i="8" s="1"/>
  <c r="H1243" i="8"/>
  <c r="G1242" i="8"/>
  <c r="H1242" i="8" s="1"/>
  <c r="G1241" i="8"/>
  <c r="H1241" i="8" s="1"/>
  <c r="G1240" i="8"/>
  <c r="H1240" i="8" s="1"/>
  <c r="G1239" i="8"/>
  <c r="H1239" i="8" s="1"/>
  <c r="G1238" i="8"/>
  <c r="H1238" i="8" s="1"/>
  <c r="G1237" i="8"/>
  <c r="H1237" i="8" s="1"/>
  <c r="G1236" i="8"/>
  <c r="H1236" i="8" s="1"/>
  <c r="G1235" i="8"/>
  <c r="H1235" i="8" s="1"/>
  <c r="G1234" i="8"/>
  <c r="H1234" i="8" s="1"/>
  <c r="G1233" i="8"/>
  <c r="H1233" i="8" s="1"/>
  <c r="G1232" i="8"/>
  <c r="H1232" i="8" s="1"/>
  <c r="G1231" i="8"/>
  <c r="H1231" i="8" s="1"/>
  <c r="G1230" i="8"/>
  <c r="H1230" i="8" s="1"/>
  <c r="G1229" i="8"/>
  <c r="H1229" i="8" s="1"/>
  <c r="G1228" i="8"/>
  <c r="H1228" i="8" s="1"/>
  <c r="H1227" i="8"/>
  <c r="G1226" i="8"/>
  <c r="H1226" i="8" s="1"/>
  <c r="G1225" i="8"/>
  <c r="H1225" i="8" s="1"/>
  <c r="G1224" i="8"/>
  <c r="H1224" i="8" s="1"/>
  <c r="G1223" i="8"/>
  <c r="E1223" i="8"/>
  <c r="G1222" i="8"/>
  <c r="H1222" i="8" s="1"/>
  <c r="G1221" i="8"/>
  <c r="H1221" i="8" s="1"/>
  <c r="H1220" i="8"/>
  <c r="G1219" i="8"/>
  <c r="H1219" i="8" s="1"/>
  <c r="G1218" i="8"/>
  <c r="H1218" i="8" s="1"/>
  <c r="G1217" i="8"/>
  <c r="H1217" i="8" s="1"/>
  <c r="G1216" i="8"/>
  <c r="H1216" i="8" s="1"/>
  <c r="G1215" i="8"/>
  <c r="H1215" i="8" s="1"/>
  <c r="H1208" i="8"/>
  <c r="H1205" i="8"/>
  <c r="H1198" i="8"/>
  <c r="H1197" i="8"/>
  <c r="G1196" i="8"/>
  <c r="H1196" i="8" s="1"/>
  <c r="H1195" i="8"/>
  <c r="G1194" i="8"/>
  <c r="H1194" i="8" s="1"/>
  <c r="G1193" i="8"/>
  <c r="H1193" i="8" s="1"/>
  <c r="G1192" i="8"/>
  <c r="H1192" i="8" s="1"/>
  <c r="G1191" i="8"/>
  <c r="H1191" i="8" s="1"/>
  <c r="G1190" i="8"/>
  <c r="H1190" i="8" s="1"/>
  <c r="G1189" i="8"/>
  <c r="H1189" i="8" s="1"/>
  <c r="G1188" i="8"/>
  <c r="H1188" i="8" s="1"/>
  <c r="G1187" i="8"/>
  <c r="H1187" i="8" s="1"/>
  <c r="G1186" i="8"/>
  <c r="H1186" i="8" s="1"/>
  <c r="G1185" i="8"/>
  <c r="H1185" i="8" s="1"/>
  <c r="G1184" i="8"/>
  <c r="H1184" i="8" s="1"/>
  <c r="G1183" i="8"/>
  <c r="H1183" i="8" s="1"/>
  <c r="G1182" i="8"/>
  <c r="H1182" i="8" s="1"/>
  <c r="G1181" i="8"/>
  <c r="H1181" i="8" s="1"/>
  <c r="G1180" i="8"/>
  <c r="H1180" i="8" s="1"/>
  <c r="G1179" i="8"/>
  <c r="H1179" i="8" s="1"/>
  <c r="G1178" i="8"/>
  <c r="H1178" i="8" s="1"/>
  <c r="H1177" i="8"/>
  <c r="G1176" i="8"/>
  <c r="H1176" i="8" s="1"/>
  <c r="G1175" i="8"/>
  <c r="H1175" i="8" s="1"/>
  <c r="G1174" i="8"/>
  <c r="H1174" i="8" s="1"/>
  <c r="G1173" i="8"/>
  <c r="H1173" i="8" s="1"/>
  <c r="G1172" i="8"/>
  <c r="H1172" i="8" s="1"/>
  <c r="G1171" i="8"/>
  <c r="H1171" i="8" s="1"/>
  <c r="G1170" i="8"/>
  <c r="H1170" i="8" s="1"/>
  <c r="G1169" i="8"/>
  <c r="H1169" i="8" s="1"/>
  <c r="G1168" i="8"/>
  <c r="H1168" i="8" s="1"/>
  <c r="G1167" i="8"/>
  <c r="H1167" i="8" s="1"/>
  <c r="G1166" i="8"/>
  <c r="H1166" i="8" s="1"/>
  <c r="G1165" i="8"/>
  <c r="H1165" i="8" s="1"/>
  <c r="G1164" i="8"/>
  <c r="H1164" i="8" s="1"/>
  <c r="G1163" i="8"/>
  <c r="H1163" i="8" s="1"/>
  <c r="G1162" i="8"/>
  <c r="H1162" i="8" s="1"/>
  <c r="H1161" i="8"/>
  <c r="G1160" i="8"/>
  <c r="H1160" i="8" s="1"/>
  <c r="G1159" i="8"/>
  <c r="H1159" i="8" s="1"/>
  <c r="G1158" i="8"/>
  <c r="H1158" i="8" s="1"/>
  <c r="G1157" i="8"/>
  <c r="E1157" i="8"/>
  <c r="G1156" i="8"/>
  <c r="H1156" i="8" s="1"/>
  <c r="G1155" i="8"/>
  <c r="H1155" i="8" s="1"/>
  <c r="H1154" i="8"/>
  <c r="G1153" i="8"/>
  <c r="H1153" i="8" s="1"/>
  <c r="G1152" i="8"/>
  <c r="H1152" i="8" s="1"/>
  <c r="G1151" i="8"/>
  <c r="H1151" i="8" s="1"/>
  <c r="G1150" i="8"/>
  <c r="H1150" i="8" s="1"/>
  <c r="G1149" i="8"/>
  <c r="H1149" i="8" s="1"/>
  <c r="H1140" i="8"/>
  <c r="H1139" i="8"/>
  <c r="H1138" i="8"/>
  <c r="H1137" i="8"/>
  <c r="H1136" i="8"/>
  <c r="H1135" i="8"/>
  <c r="H1133" i="8"/>
  <c r="H1132" i="8"/>
  <c r="H1131" i="8"/>
  <c r="H1130" i="8"/>
  <c r="H1129" i="8"/>
  <c r="H1128" i="8"/>
  <c r="E1124" i="8"/>
  <c r="H1124" i="8" s="1"/>
  <c r="H1122" i="8"/>
  <c r="E1121" i="8"/>
  <c r="H1121" i="8" s="1"/>
  <c r="H1120" i="8"/>
  <c r="H1119" i="8"/>
  <c r="E1115" i="8"/>
  <c r="H1115" i="8" s="1"/>
  <c r="E1114" i="8"/>
  <c r="H1114" i="8" s="1"/>
  <c r="E1108" i="8"/>
  <c r="H1108" i="8" s="1"/>
  <c r="F1107" i="8"/>
  <c r="H1107" i="8" s="1"/>
  <c r="F1104" i="8"/>
  <c r="E1104" i="8"/>
  <c r="F1103" i="8"/>
  <c r="E1103" i="8"/>
  <c r="E1110" i="8"/>
  <c r="H1097" i="8"/>
  <c r="H1094" i="8"/>
  <c r="H1091" i="8"/>
  <c r="H1090" i="8"/>
  <c r="H1089" i="8"/>
  <c r="H1083" i="8"/>
  <c r="H1081" i="8"/>
  <c r="H1080" i="8"/>
  <c r="F1077" i="8"/>
  <c r="H1077" i="8" s="1"/>
  <c r="F1076" i="8"/>
  <c r="H1076" i="8" s="1"/>
  <c r="F1075" i="8"/>
  <c r="H1075" i="8" s="1"/>
  <c r="F1074" i="8"/>
  <c r="H1074" i="8" s="1"/>
  <c r="F1073" i="8"/>
  <c r="H1073" i="8" s="1"/>
  <c r="H1069" i="8"/>
  <c r="H1067" i="8"/>
  <c r="H1066" i="8"/>
  <c r="H1063" i="8"/>
  <c r="H1061" i="8"/>
  <c r="H1059" i="8"/>
  <c r="H1057" i="8"/>
  <c r="H1055" i="8"/>
  <c r="H1054" i="8"/>
  <c r="H1053" i="8"/>
  <c r="H1051" i="8"/>
  <c r="H1048" i="8"/>
  <c r="H1047" i="8"/>
  <c r="H1045" i="8"/>
  <c r="H1044" i="8"/>
  <c r="H1042" i="8"/>
  <c r="H1041" i="8"/>
  <c r="H1040" i="8"/>
  <c r="H1039" i="8"/>
  <c r="H1033" i="8"/>
  <c r="H1030" i="8"/>
  <c r="H1028" i="8"/>
  <c r="H1026" i="8"/>
  <c r="H1024" i="8"/>
  <c r="H1023" i="8"/>
  <c r="H1022" i="8"/>
  <c r="H1020" i="8"/>
  <c r="H1017" i="8"/>
  <c r="H1016" i="8"/>
  <c r="H1014" i="8"/>
  <c r="H1013" i="8"/>
  <c r="H1011" i="8"/>
  <c r="H1010" i="8"/>
  <c r="H1009" i="8"/>
  <c r="H1008" i="8"/>
  <c r="D1003" i="8"/>
  <c r="H1003" i="8" s="1"/>
  <c r="H1002" i="8"/>
  <c r="H1001" i="8"/>
  <c r="D999" i="8"/>
  <c r="H999" i="8" s="1"/>
  <c r="H998" i="8"/>
  <c r="H997" i="8"/>
  <c r="D994" i="8"/>
  <c r="H994" i="8" s="1"/>
  <c r="H993" i="8"/>
  <c r="H992" i="8"/>
  <c r="D990" i="8"/>
  <c r="H990" i="8" s="1"/>
  <c r="D989" i="8"/>
  <c r="H989" i="8" s="1"/>
  <c r="D988" i="8"/>
  <c r="H988" i="8" s="1"/>
  <c r="H986" i="8"/>
  <c r="H985" i="8"/>
  <c r="D983" i="8"/>
  <c r="H983" i="8" s="1"/>
  <c r="H981" i="8"/>
  <c r="H980" i="8"/>
  <c r="D978" i="8"/>
  <c r="H978" i="8" s="1"/>
  <c r="D977" i="8"/>
  <c r="H977" i="8" s="1"/>
  <c r="H975" i="8"/>
  <c r="H974" i="8"/>
  <c r="D972" i="8"/>
  <c r="H972" i="8" s="1"/>
  <c r="D971" i="8"/>
  <c r="H971" i="8" s="1"/>
  <c r="H970" i="8"/>
  <c r="H969" i="8"/>
  <c r="D967" i="8"/>
  <c r="H967" i="8" s="1"/>
  <c r="D966" i="8"/>
  <c r="H966" i="8" s="1"/>
  <c r="D965" i="8"/>
  <c r="H965" i="8" s="1"/>
  <c r="D964" i="8"/>
  <c r="H964" i="8" s="1"/>
  <c r="H963" i="8"/>
  <c r="H962" i="8"/>
  <c r="H961" i="8"/>
  <c r="H960" i="8"/>
  <c r="H959" i="8"/>
  <c r="H958" i="8"/>
  <c r="H956" i="8"/>
  <c r="H955" i="8"/>
  <c r="H954" i="8"/>
  <c r="H953" i="8"/>
  <c r="H951" i="8"/>
  <c r="H950" i="8"/>
  <c r="H948" i="8"/>
  <c r="H947" i="8"/>
  <c r="H945" i="8"/>
  <c r="H944" i="8"/>
  <c r="H942" i="8"/>
  <c r="H941" i="8"/>
  <c r="H940" i="8"/>
  <c r="H939" i="8"/>
  <c r="H938" i="8"/>
  <c r="H937" i="8"/>
  <c r="H935" i="8"/>
  <c r="H934" i="8"/>
  <c r="H931" i="8"/>
  <c r="H930" i="8"/>
  <c r="H929" i="8"/>
  <c r="H928" i="8"/>
  <c r="H926" i="8"/>
  <c r="H925" i="8"/>
  <c r="H924" i="8"/>
  <c r="H923" i="8"/>
  <c r="H921" i="8"/>
  <c r="H920" i="8"/>
  <c r="H919" i="8"/>
  <c r="H918" i="8"/>
  <c r="H917" i="8"/>
  <c r="H916" i="8"/>
  <c r="H915" i="8"/>
  <c r="H914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7" i="8"/>
  <c r="H876" i="8"/>
  <c r="H874" i="8"/>
  <c r="H873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8" i="8"/>
  <c r="H837" i="8"/>
  <c r="H836" i="8"/>
  <c r="H835" i="8"/>
  <c r="H834" i="8"/>
  <c r="H833" i="8"/>
  <c r="H832" i="8"/>
  <c r="H831" i="8"/>
  <c r="H830" i="8"/>
  <c r="H829" i="8"/>
  <c r="H828" i="8"/>
  <c r="E809" i="8"/>
  <c r="H809" i="8" s="1"/>
  <c r="E807" i="8"/>
  <c r="H807" i="8" s="1"/>
  <c r="E805" i="8"/>
  <c r="H805" i="8" s="1"/>
  <c r="E803" i="8"/>
  <c r="H803" i="8" s="1"/>
  <c r="E801" i="8"/>
  <c r="H801" i="8" s="1"/>
  <c r="E799" i="8"/>
  <c r="H799" i="8" s="1"/>
  <c r="E797" i="8"/>
  <c r="H797" i="8" s="1"/>
  <c r="E795" i="8"/>
  <c r="H795" i="8" s="1"/>
  <c r="E793" i="8"/>
  <c r="H793" i="8" s="1"/>
  <c r="E791" i="8"/>
  <c r="H791" i="8" s="1"/>
  <c r="E789" i="8"/>
  <c r="H789" i="8" s="1"/>
  <c r="E787" i="8"/>
  <c r="H787" i="8" s="1"/>
  <c r="E785" i="8"/>
  <c r="H785" i="8" s="1"/>
  <c r="E783" i="8"/>
  <c r="H783" i="8" s="1"/>
  <c r="E781" i="8"/>
  <c r="H781" i="8" s="1"/>
  <c r="E779" i="8"/>
  <c r="H779" i="8" s="1"/>
  <c r="E777" i="8"/>
  <c r="H777" i="8" s="1"/>
  <c r="E775" i="8"/>
  <c r="H775" i="8" s="1"/>
  <c r="E773" i="8"/>
  <c r="H773" i="8" s="1"/>
  <c r="E771" i="8"/>
  <c r="H771" i="8" s="1"/>
  <c r="E769" i="8"/>
  <c r="H769" i="8" s="1"/>
  <c r="E767" i="8"/>
  <c r="H767" i="8" s="1"/>
  <c r="E765" i="8"/>
  <c r="H765" i="8" s="1"/>
  <c r="E763" i="8"/>
  <c r="H763" i="8" s="1"/>
  <c r="H762" i="8"/>
  <c r="E761" i="8"/>
  <c r="H761" i="8" s="1"/>
  <c r="H760" i="8"/>
  <c r="E758" i="8"/>
  <c r="H758" i="8" s="1"/>
  <c r="H757" i="8"/>
  <c r="E756" i="8"/>
  <c r="H756" i="8" s="1"/>
  <c r="H755" i="8"/>
  <c r="F753" i="8"/>
  <c r="E752" i="8"/>
  <c r="E753" i="8" s="1"/>
  <c r="F751" i="8"/>
  <c r="E750" i="8"/>
  <c r="H750" i="8" s="1"/>
  <c r="F749" i="8"/>
  <c r="E748" i="8"/>
  <c r="H748" i="8" s="1"/>
  <c r="F747" i="8"/>
  <c r="E746" i="8"/>
  <c r="H746" i="8" s="1"/>
  <c r="F745" i="8"/>
  <c r="E744" i="8"/>
  <c r="E745" i="8" s="1"/>
  <c r="F743" i="8"/>
  <c r="E742" i="8"/>
  <c r="H742" i="8" s="1"/>
  <c r="F741" i="8"/>
  <c r="E740" i="8"/>
  <c r="H740" i="8" s="1"/>
  <c r="F739" i="8"/>
  <c r="E738" i="8"/>
  <c r="H738" i="8" s="1"/>
  <c r="F737" i="8"/>
  <c r="E736" i="8"/>
  <c r="E737" i="8" s="1"/>
  <c r="F735" i="8"/>
  <c r="E734" i="8"/>
  <c r="E735" i="8" s="1"/>
  <c r="F732" i="8"/>
  <c r="E731" i="8"/>
  <c r="H731" i="8" s="1"/>
  <c r="F730" i="8"/>
  <c r="E729" i="8"/>
  <c r="H729" i="8" s="1"/>
  <c r="F728" i="8"/>
  <c r="E727" i="8"/>
  <c r="E728" i="8" s="1"/>
  <c r="F726" i="8"/>
  <c r="E725" i="8"/>
  <c r="E726" i="8" s="1"/>
  <c r="F724" i="8"/>
  <c r="E723" i="8"/>
  <c r="H723" i="8" s="1"/>
  <c r="F722" i="8"/>
  <c r="E721" i="8"/>
  <c r="H721" i="8" s="1"/>
  <c r="F720" i="8"/>
  <c r="E719" i="8"/>
  <c r="F718" i="8"/>
  <c r="E717" i="8"/>
  <c r="E718" i="8" s="1"/>
  <c r="E715" i="8"/>
  <c r="H715" i="8" s="1"/>
  <c r="E713" i="8"/>
  <c r="E714" i="8" s="1"/>
  <c r="H714" i="8" s="1"/>
  <c r="E711" i="8"/>
  <c r="E712" i="8" s="1"/>
  <c r="H712" i="8" s="1"/>
  <c r="F710" i="8"/>
  <c r="E710" i="8"/>
  <c r="H709" i="8"/>
  <c r="E707" i="8"/>
  <c r="H707" i="8" s="1"/>
  <c r="E705" i="8"/>
  <c r="E706" i="8" s="1"/>
  <c r="H706" i="8" s="1"/>
  <c r="F704" i="8"/>
  <c r="E703" i="8"/>
  <c r="H703" i="8" s="1"/>
  <c r="E701" i="8"/>
  <c r="H701" i="8" s="1"/>
  <c r="E699" i="8"/>
  <c r="H699" i="8" s="1"/>
  <c r="E697" i="8"/>
  <c r="H697" i="8" s="1"/>
  <c r="F696" i="8"/>
  <c r="E695" i="8"/>
  <c r="F694" i="8"/>
  <c r="E693" i="8"/>
  <c r="E694" i="8" s="1"/>
  <c r="F692" i="8"/>
  <c r="E691" i="8"/>
  <c r="E692" i="8" s="1"/>
  <c r="F690" i="8"/>
  <c r="E689" i="8"/>
  <c r="E690" i="8" s="1"/>
  <c r="F687" i="8"/>
  <c r="E686" i="8"/>
  <c r="F685" i="8"/>
  <c r="E684" i="8"/>
  <c r="E685" i="8" s="1"/>
  <c r="H682" i="8"/>
  <c r="E681" i="8"/>
  <c r="E683" i="8" s="1"/>
  <c r="H683" i="8" s="1"/>
  <c r="F680" i="8"/>
  <c r="E679" i="8"/>
  <c r="E680" i="8" s="1"/>
  <c r="F678" i="8"/>
  <c r="E677" i="8"/>
  <c r="H677" i="8" s="1"/>
  <c r="F676" i="8"/>
  <c r="E675" i="8"/>
  <c r="E676" i="8" s="1"/>
  <c r="F674" i="8"/>
  <c r="E673" i="8"/>
  <c r="H673" i="8" s="1"/>
  <c r="E671" i="8"/>
  <c r="H671" i="8" s="1"/>
  <c r="E670" i="8"/>
  <c r="H670" i="8" s="1"/>
  <c r="H669" i="8"/>
  <c r="F668" i="8"/>
  <c r="E667" i="8"/>
  <c r="H667" i="8" s="1"/>
  <c r="F666" i="8"/>
  <c r="E665" i="8"/>
  <c r="E666" i="8" s="1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7" i="8"/>
  <c r="H626" i="8"/>
  <c r="H624" i="8"/>
  <c r="H623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8" i="8"/>
  <c r="H587" i="8"/>
  <c r="H586" i="8"/>
  <c r="H585" i="8"/>
  <c r="H584" i="8"/>
  <c r="H583" i="8"/>
  <c r="H582" i="8"/>
  <c r="H581" i="8"/>
  <c r="H580" i="8"/>
  <c r="H579" i="8"/>
  <c r="H578" i="8"/>
  <c r="E570" i="8"/>
  <c r="H570" i="8" s="1"/>
  <c r="E569" i="8"/>
  <c r="H569" i="8" s="1"/>
  <c r="G565" i="8"/>
  <c r="E565" i="8"/>
  <c r="G564" i="8"/>
  <c r="E564" i="8"/>
  <c r="G563" i="8"/>
  <c r="E563" i="8"/>
  <c r="G562" i="8"/>
  <c r="E562" i="8"/>
  <c r="G560" i="8"/>
  <c r="H560" i="8" s="1"/>
  <c r="G559" i="8"/>
  <c r="E559" i="8"/>
  <c r="G558" i="8"/>
  <c r="E558" i="8"/>
  <c r="G557" i="8"/>
  <c r="E557" i="8"/>
  <c r="G555" i="8"/>
  <c r="E555" i="8"/>
  <c r="G554" i="8"/>
  <c r="E554" i="8"/>
  <c r="G553" i="8"/>
  <c r="E553" i="8"/>
  <c r="G552" i="8"/>
  <c r="E552" i="8"/>
  <c r="G550" i="8"/>
  <c r="E550" i="8"/>
  <c r="G549" i="8"/>
  <c r="E549" i="8"/>
  <c r="G547" i="8"/>
  <c r="E547" i="8"/>
  <c r="G546" i="8"/>
  <c r="E546" i="8"/>
  <c r="G545" i="8"/>
  <c r="E545" i="8"/>
  <c r="G544" i="8"/>
  <c r="E544" i="8"/>
  <c r="G543" i="8"/>
  <c r="E543" i="8"/>
  <c r="G542" i="8"/>
  <c r="E542" i="8"/>
  <c r="G541" i="8"/>
  <c r="E541" i="8"/>
  <c r="G540" i="8"/>
  <c r="E540" i="8"/>
  <c r="G539" i="8"/>
  <c r="E539" i="8"/>
  <c r="G538" i="8"/>
  <c r="E538" i="8"/>
  <c r="G537" i="8"/>
  <c r="E537" i="8"/>
  <c r="G536" i="8"/>
  <c r="E536" i="8"/>
  <c r="G535" i="8"/>
  <c r="E535" i="8"/>
  <c r="G534" i="8"/>
  <c r="E534" i="8"/>
  <c r="G533" i="8"/>
  <c r="E533" i="8"/>
  <c r="G532" i="8"/>
  <c r="E532" i="8"/>
  <c r="G531" i="8"/>
  <c r="E531" i="8"/>
  <c r="G530" i="8"/>
  <c r="E530" i="8"/>
  <c r="G529" i="8"/>
  <c r="E529" i="8"/>
  <c r="G523" i="8"/>
  <c r="E523" i="8"/>
  <c r="G522" i="8"/>
  <c r="H522" i="8" s="1"/>
  <c r="G521" i="8"/>
  <c r="E521" i="8"/>
  <c r="G520" i="8"/>
  <c r="H520" i="8" s="1"/>
  <c r="G516" i="8"/>
  <c r="E516" i="8"/>
  <c r="G515" i="8"/>
  <c r="H515" i="8" s="1"/>
  <c r="G514" i="8"/>
  <c r="E514" i="8"/>
  <c r="G513" i="8"/>
  <c r="H513" i="8" s="1"/>
  <c r="G512" i="8"/>
  <c r="E512" i="8"/>
  <c r="G511" i="8"/>
  <c r="H511" i="8" s="1"/>
  <c r="G510" i="8"/>
  <c r="E510" i="8"/>
  <c r="G509" i="8"/>
  <c r="H509" i="8" s="1"/>
  <c r="G506" i="8"/>
  <c r="E506" i="8"/>
  <c r="G504" i="8"/>
  <c r="E504" i="8"/>
  <c r="G502" i="8"/>
  <c r="E502" i="8"/>
  <c r="G500" i="8"/>
  <c r="E500" i="8"/>
  <c r="G496" i="8"/>
  <c r="E496" i="8"/>
  <c r="G494" i="8"/>
  <c r="E494" i="8"/>
  <c r="G492" i="8"/>
  <c r="E492" i="8"/>
  <c r="G490" i="8"/>
  <c r="E490" i="8"/>
  <c r="G486" i="8"/>
  <c r="E486" i="8"/>
  <c r="G484" i="8"/>
  <c r="E484" i="8"/>
  <c r="G479" i="8"/>
  <c r="E479" i="8"/>
  <c r="G477" i="8"/>
  <c r="E477" i="8"/>
  <c r="G475" i="8"/>
  <c r="E475" i="8"/>
  <c r="G473" i="8"/>
  <c r="E473" i="8"/>
  <c r="G471" i="8"/>
  <c r="E471" i="8"/>
  <c r="G469" i="8"/>
  <c r="E469" i="8"/>
  <c r="G467" i="8"/>
  <c r="E467" i="8"/>
  <c r="G465" i="8"/>
  <c r="E465" i="8"/>
  <c r="G463" i="8"/>
  <c r="E463" i="8"/>
  <c r="G461" i="8"/>
  <c r="E461" i="8"/>
  <c r="G459" i="8"/>
  <c r="E459" i="8"/>
  <c r="G457" i="8"/>
  <c r="E457" i="8"/>
  <c r="G455" i="8"/>
  <c r="E455" i="8"/>
  <c r="G453" i="8"/>
  <c r="E453" i="8"/>
  <c r="G451" i="8"/>
  <c r="E451" i="8"/>
  <c r="G449" i="8"/>
  <c r="E449" i="8"/>
  <c r="G447" i="8"/>
  <c r="E447" i="8"/>
  <c r="G445" i="8"/>
  <c r="E445" i="8"/>
  <c r="G443" i="8"/>
  <c r="E443" i="8"/>
  <c r="H435" i="8"/>
  <c r="H434" i="8"/>
  <c r="G431" i="8"/>
  <c r="H431" i="8" s="1"/>
  <c r="G430" i="8"/>
  <c r="H430" i="8" s="1"/>
  <c r="G429" i="8"/>
  <c r="H429" i="8" s="1"/>
  <c r="G428" i="8"/>
  <c r="H428" i="8" s="1"/>
  <c r="G426" i="8"/>
  <c r="G505" i="8" s="1"/>
  <c r="H505" i="8" s="1"/>
  <c r="G425" i="8"/>
  <c r="G503" i="8" s="1"/>
  <c r="H503" i="8" s="1"/>
  <c r="G424" i="8"/>
  <c r="H424" i="8" s="1"/>
  <c r="G423" i="8"/>
  <c r="G499" i="8" s="1"/>
  <c r="H499" i="8" s="1"/>
  <c r="G421" i="8"/>
  <c r="G495" i="8" s="1"/>
  <c r="H495" i="8" s="1"/>
  <c r="G420" i="8"/>
  <c r="G493" i="8" s="1"/>
  <c r="H493" i="8" s="1"/>
  <c r="G419" i="8"/>
  <c r="H419" i="8" s="1"/>
  <c r="G418" i="8"/>
  <c r="G489" i="8" s="1"/>
  <c r="H489" i="8" s="1"/>
  <c r="G416" i="8"/>
  <c r="G485" i="8" s="1"/>
  <c r="H485" i="8" s="1"/>
  <c r="G415" i="8"/>
  <c r="G483" i="8" s="1"/>
  <c r="H483" i="8" s="1"/>
  <c r="G413" i="8"/>
  <c r="H413" i="8" s="1"/>
  <c r="G412" i="8"/>
  <c r="G476" i="8" s="1"/>
  <c r="H476" i="8" s="1"/>
  <c r="G411" i="8"/>
  <c r="G474" i="8" s="1"/>
  <c r="H474" i="8" s="1"/>
  <c r="G410" i="8"/>
  <c r="H410" i="8" s="1"/>
  <c r="G409" i="8"/>
  <c r="H409" i="8" s="1"/>
  <c r="G408" i="8"/>
  <c r="G468" i="8" s="1"/>
  <c r="H468" i="8" s="1"/>
  <c r="G407" i="8"/>
  <c r="G466" i="8" s="1"/>
  <c r="H466" i="8" s="1"/>
  <c r="G406" i="8"/>
  <c r="G464" i="8" s="1"/>
  <c r="H464" i="8" s="1"/>
  <c r="G405" i="8"/>
  <c r="H405" i="8" s="1"/>
  <c r="G404" i="8"/>
  <c r="G460" i="8" s="1"/>
  <c r="H460" i="8" s="1"/>
  <c r="G403" i="8"/>
  <c r="G458" i="8" s="1"/>
  <c r="H458" i="8" s="1"/>
  <c r="G402" i="8"/>
  <c r="H402" i="8" s="1"/>
  <c r="G401" i="8"/>
  <c r="H401" i="8" s="1"/>
  <c r="G400" i="8"/>
  <c r="G452" i="8" s="1"/>
  <c r="H452" i="8" s="1"/>
  <c r="G399" i="8"/>
  <c r="G450" i="8" s="1"/>
  <c r="H450" i="8" s="1"/>
  <c r="G398" i="8"/>
  <c r="G448" i="8" s="1"/>
  <c r="H448" i="8" s="1"/>
  <c r="G397" i="8"/>
  <c r="H397" i="8" s="1"/>
  <c r="G396" i="8"/>
  <c r="G444" i="8" s="1"/>
  <c r="H444" i="8" s="1"/>
  <c r="G395" i="8"/>
  <c r="G442" i="8" s="1"/>
  <c r="H442" i="8" s="1"/>
  <c r="H389" i="8"/>
  <c r="H388" i="8"/>
  <c r="H387" i="8"/>
  <c r="H386" i="8"/>
  <c r="F381" i="8"/>
  <c r="E381" i="8"/>
  <c r="F380" i="8"/>
  <c r="E380" i="8"/>
  <c r="F377" i="8"/>
  <c r="E377" i="8"/>
  <c r="F376" i="8"/>
  <c r="E376" i="8"/>
  <c r="F373" i="8"/>
  <c r="E373" i="8"/>
  <c r="F372" i="8"/>
  <c r="E372" i="8"/>
  <c r="F369" i="8"/>
  <c r="E369" i="8"/>
  <c r="F368" i="8"/>
  <c r="E368" i="8"/>
  <c r="H364" i="8"/>
  <c r="H363" i="8"/>
  <c r="H362" i="8"/>
  <c r="H361" i="8"/>
  <c r="F354" i="8"/>
  <c r="E354" i="8"/>
  <c r="F351" i="8"/>
  <c r="E351" i="8"/>
  <c r="F352" i="8" s="1"/>
  <c r="H352" i="8" s="1"/>
  <c r="F348" i="8"/>
  <c r="E348" i="8"/>
  <c r="F345" i="8"/>
  <c r="E345" i="8"/>
  <c r="F346" i="8" s="1"/>
  <c r="H346" i="8" s="1"/>
  <c r="F342" i="8"/>
  <c r="E342" i="8"/>
  <c r="F339" i="8"/>
  <c r="E339" i="8"/>
  <c r="F340" i="8" s="1"/>
  <c r="H340" i="8" s="1"/>
  <c r="F336" i="8"/>
  <c r="E336" i="8"/>
  <c r="F337" i="8" s="1"/>
  <c r="H337" i="8" s="1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8" i="8"/>
  <c r="H287" i="8"/>
  <c r="H286" i="8"/>
  <c r="H285" i="8"/>
  <c r="H284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6" i="8"/>
  <c r="H235" i="8"/>
  <c r="H234" i="8"/>
  <c r="H233" i="8"/>
  <c r="H232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7" i="8"/>
  <c r="H186" i="8"/>
  <c r="H185" i="8"/>
  <c r="H184" i="8"/>
  <c r="H183" i="8"/>
  <c r="H179" i="8"/>
  <c r="H178" i="8"/>
  <c r="H177" i="8"/>
  <c r="H176" i="8"/>
  <c r="F166" i="8"/>
  <c r="H166" i="8" s="1"/>
  <c r="H165" i="8"/>
  <c r="H164" i="8"/>
  <c r="H163" i="8"/>
  <c r="H162" i="8"/>
  <c r="H161" i="8"/>
  <c r="H160" i="8"/>
  <c r="H159" i="8"/>
  <c r="H157" i="8"/>
  <c r="H154" i="8"/>
  <c r="H151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7" i="8"/>
  <c r="H96" i="8"/>
  <c r="H95" i="8"/>
  <c r="H94" i="8"/>
  <c r="H93" i="8"/>
  <c r="F82" i="8"/>
  <c r="H82" i="8" s="1"/>
  <c r="H81" i="8"/>
  <c r="H80" i="8"/>
  <c r="H79" i="8"/>
  <c r="H78" i="8"/>
  <c r="H77" i="8"/>
  <c r="H76" i="8"/>
  <c r="H75" i="8"/>
  <c r="H74" i="8"/>
  <c r="H73" i="8"/>
  <c r="H70" i="8"/>
  <c r="H69" i="8"/>
  <c r="E68" i="8"/>
  <c r="E1092" i="8" s="1"/>
  <c r="H67" i="8"/>
  <c r="E66" i="8"/>
  <c r="H66" i="8" s="1"/>
  <c r="H65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5" i="8"/>
  <c r="I4" i="8" s="1"/>
  <c r="H376" i="8" l="1"/>
  <c r="E724" i="8"/>
  <c r="H142" i="3"/>
  <c r="G1545" i="8"/>
  <c r="H1545" i="8" s="1"/>
  <c r="I1536" i="8" s="1"/>
  <c r="G1561" i="8"/>
  <c r="H1561" i="8" s="1"/>
  <c r="I1554" i="8" s="1"/>
  <c r="H1585" i="8"/>
  <c r="H449" i="8"/>
  <c r="H453" i="8"/>
  <c r="H457" i="8"/>
  <c r="H473" i="8"/>
  <c r="H484" i="8"/>
  <c r="H490" i="8"/>
  <c r="H494" i="8"/>
  <c r="H500" i="8"/>
  <c r="H504" i="8"/>
  <c r="H523" i="8"/>
  <c r="H534" i="8"/>
  <c r="H536" i="8"/>
  <c r="H540" i="8"/>
  <c r="H542" i="8"/>
  <c r="H544" i="8"/>
  <c r="H552" i="8"/>
  <c r="H554" i="8"/>
  <c r="H685" i="8"/>
  <c r="I1433" i="8"/>
  <c r="H1103" i="8"/>
  <c r="H1270" i="8"/>
  <c r="H705" i="8"/>
  <c r="H694" i="8"/>
  <c r="H726" i="8"/>
  <c r="I1508" i="8"/>
  <c r="I1514" i="8"/>
  <c r="H1520" i="8"/>
  <c r="I1520" i="8" s="1"/>
  <c r="I181" i="8"/>
  <c r="H336" i="8"/>
  <c r="H418" i="8"/>
  <c r="H467" i="8"/>
  <c r="H516" i="8"/>
  <c r="H539" i="8"/>
  <c r="H547" i="8"/>
  <c r="H718" i="8"/>
  <c r="H339" i="8"/>
  <c r="H521" i="8"/>
  <c r="I913" i="8"/>
  <c r="I1079" i="8"/>
  <c r="H1157" i="8"/>
  <c r="I1145" i="8" s="1"/>
  <c r="H514" i="8"/>
  <c r="H564" i="8"/>
  <c r="H666" i="8"/>
  <c r="H692" i="8"/>
  <c r="H710" i="8"/>
  <c r="H724" i="8"/>
  <c r="H728" i="8"/>
  <c r="H1272" i="8"/>
  <c r="I1512" i="8"/>
  <c r="I175" i="8"/>
  <c r="H369" i="8"/>
  <c r="H400" i="8"/>
  <c r="H679" i="8"/>
  <c r="I826" i="8"/>
  <c r="H372" i="8"/>
  <c r="H408" i="8"/>
  <c r="H443" i="8"/>
  <c r="H447" i="8"/>
  <c r="H479" i="8"/>
  <c r="H533" i="8"/>
  <c r="H563" i="8"/>
  <c r="H734" i="8"/>
  <c r="H342" i="8"/>
  <c r="H348" i="8"/>
  <c r="I359" i="8"/>
  <c r="H368" i="8"/>
  <c r="H377" i="8"/>
  <c r="H381" i="8"/>
  <c r="H406" i="8"/>
  <c r="H425" i="8"/>
  <c r="H465" i="8"/>
  <c r="H469" i="8"/>
  <c r="H486" i="8"/>
  <c r="H496" i="8"/>
  <c r="H532" i="8"/>
  <c r="H558" i="8"/>
  <c r="H684" i="8"/>
  <c r="E698" i="8"/>
  <c r="H698" i="8" s="1"/>
  <c r="H713" i="8"/>
  <c r="H717" i="8"/>
  <c r="E743" i="8"/>
  <c r="H743" i="8" s="1"/>
  <c r="I1134" i="8"/>
  <c r="H1279" i="8"/>
  <c r="H351" i="8"/>
  <c r="H549" i="8"/>
  <c r="H559" i="8"/>
  <c r="H562" i="8"/>
  <c r="H665" i="8"/>
  <c r="H690" i="8"/>
  <c r="H691" i="8"/>
  <c r="H735" i="8"/>
  <c r="E741" i="8"/>
  <c r="H741" i="8" s="1"/>
  <c r="H1276" i="8"/>
  <c r="H1280" i="8"/>
  <c r="I1500" i="8"/>
  <c r="F349" i="8"/>
  <c r="H349" i="8" s="1"/>
  <c r="H354" i="8"/>
  <c r="I384" i="8"/>
  <c r="H398" i="8"/>
  <c r="H415" i="8"/>
  <c r="H451" i="8"/>
  <c r="H463" i="8"/>
  <c r="H531" i="8"/>
  <c r="H541" i="8"/>
  <c r="H550" i="8"/>
  <c r="H565" i="8"/>
  <c r="H676" i="8"/>
  <c r="H680" i="8"/>
  <c r="H689" i="8"/>
  <c r="E700" i="8"/>
  <c r="H700" i="8" s="1"/>
  <c r="E708" i="8"/>
  <c r="H708" i="8" s="1"/>
  <c r="E716" i="8"/>
  <c r="H716" i="8" s="1"/>
  <c r="H745" i="8"/>
  <c r="H753" i="8"/>
  <c r="I1038" i="8"/>
  <c r="H1104" i="8"/>
  <c r="H1223" i="8"/>
  <c r="H1267" i="8"/>
  <c r="H1269" i="8"/>
  <c r="H1271" i="8"/>
  <c r="H1273" i="8"/>
  <c r="I1367" i="8"/>
  <c r="E1492" i="8"/>
  <c r="H1492" i="8" s="1"/>
  <c r="H373" i="8"/>
  <c r="H380" i="8"/>
  <c r="H445" i="8"/>
  <c r="H455" i="8"/>
  <c r="H461" i="8"/>
  <c r="H471" i="8"/>
  <c r="H477" i="8"/>
  <c r="H502" i="8"/>
  <c r="H510" i="8"/>
  <c r="H512" i="8"/>
  <c r="H529" i="8"/>
  <c r="H538" i="8"/>
  <c r="H543" i="8"/>
  <c r="H545" i="8"/>
  <c r="H557" i="8"/>
  <c r="I575" i="8"/>
  <c r="E678" i="8"/>
  <c r="H678" i="8" s="1"/>
  <c r="E702" i="8"/>
  <c r="H702" i="8" s="1"/>
  <c r="H737" i="8"/>
  <c r="E749" i="8"/>
  <c r="H749" i="8" s="1"/>
  <c r="E751" i="8"/>
  <c r="H751" i="8" s="1"/>
  <c r="I1007" i="8"/>
  <c r="H1268" i="8"/>
  <c r="H1277" i="8"/>
  <c r="E1455" i="8"/>
  <c r="H1455" i="8" s="1"/>
  <c r="I1455" i="8" s="1"/>
  <c r="I1498" i="8"/>
  <c r="I1521" i="8"/>
  <c r="I1529" i="8"/>
  <c r="H396" i="8"/>
  <c r="H404" i="8"/>
  <c r="H412" i="8"/>
  <c r="H423" i="8"/>
  <c r="G456" i="8"/>
  <c r="H456" i="8" s="1"/>
  <c r="G472" i="8"/>
  <c r="H472" i="8" s="1"/>
  <c r="H506" i="8"/>
  <c r="H530" i="8"/>
  <c r="H535" i="8"/>
  <c r="H537" i="8"/>
  <c r="H546" i="8"/>
  <c r="H553" i="8"/>
  <c r="H555" i="8"/>
  <c r="E704" i="8"/>
  <c r="H704" i="8" s="1"/>
  <c r="H711" i="8"/>
  <c r="H725" i="8"/>
  <c r="E732" i="8"/>
  <c r="H732" i="8" s="1"/>
  <c r="I1127" i="8"/>
  <c r="I1204" i="8"/>
  <c r="H1274" i="8"/>
  <c r="I1437" i="8"/>
  <c r="E1458" i="8"/>
  <c r="H1458" i="8" s="1"/>
  <c r="I1458" i="8" s="1"/>
  <c r="I1504" i="8"/>
  <c r="F82" i="5" s="1"/>
  <c r="I91" i="8"/>
  <c r="I231" i="8"/>
  <c r="I283" i="8"/>
  <c r="H420" i="8"/>
  <c r="H459" i="8"/>
  <c r="H475" i="8"/>
  <c r="H492" i="8"/>
  <c r="I1065" i="8"/>
  <c r="H1278" i="8"/>
  <c r="I1483" i="8"/>
  <c r="F89" i="5" s="1"/>
  <c r="F343" i="8"/>
  <c r="H343" i="8" s="1"/>
  <c r="H345" i="8"/>
  <c r="F355" i="8"/>
  <c r="H355" i="8" s="1"/>
  <c r="E668" i="8"/>
  <c r="H668" i="8" s="1"/>
  <c r="E672" i="8"/>
  <c r="H672" i="8" s="1"/>
  <c r="E674" i="8"/>
  <c r="H674" i="8" s="1"/>
  <c r="H675" i="8"/>
  <c r="H695" i="8"/>
  <c r="E696" i="8"/>
  <c r="H696" i="8" s="1"/>
  <c r="I1470" i="8"/>
  <c r="G446" i="8"/>
  <c r="H446" i="8" s="1"/>
  <c r="G454" i="8"/>
  <c r="H454" i="8" s="1"/>
  <c r="G462" i="8"/>
  <c r="H462" i="8" s="1"/>
  <c r="G470" i="8"/>
  <c r="H470" i="8" s="1"/>
  <c r="G478" i="8"/>
  <c r="H478" i="8" s="1"/>
  <c r="G491" i="8"/>
  <c r="H491" i="8" s="1"/>
  <c r="G501" i="8"/>
  <c r="H501" i="8" s="1"/>
  <c r="H686" i="8"/>
  <c r="E687" i="8"/>
  <c r="H687" i="8" s="1"/>
  <c r="H693" i="8"/>
  <c r="I1072" i="8"/>
  <c r="F1106" i="8"/>
  <c r="H1106" i="8" s="1"/>
  <c r="E1117" i="8"/>
  <c r="H1117" i="8" s="1"/>
  <c r="I1113" i="8" s="1"/>
  <c r="F1105" i="8"/>
  <c r="H1105" i="8" s="1"/>
  <c r="H1092" i="8"/>
  <c r="I1492" i="8"/>
  <c r="H68" i="8"/>
  <c r="I6" i="8" s="1"/>
  <c r="H395" i="8"/>
  <c r="H399" i="8"/>
  <c r="H403" i="8"/>
  <c r="H407" i="8"/>
  <c r="H411" i="8"/>
  <c r="H416" i="8"/>
  <c r="H421" i="8"/>
  <c r="H426" i="8"/>
  <c r="H681" i="8"/>
  <c r="E720" i="8"/>
  <c r="H720" i="8" s="1"/>
  <c r="H719" i="8"/>
  <c r="I957" i="8"/>
  <c r="F1111" i="8"/>
  <c r="H1111" i="8" s="1"/>
  <c r="H1110" i="8"/>
  <c r="E722" i="8"/>
  <c r="H722" i="8" s="1"/>
  <c r="E730" i="8"/>
  <c r="H730" i="8" s="1"/>
  <c r="E739" i="8"/>
  <c r="H739" i="8" s="1"/>
  <c r="E747" i="8"/>
  <c r="H747" i="8" s="1"/>
  <c r="E766" i="8"/>
  <c r="H766" i="8" s="1"/>
  <c r="E768" i="8"/>
  <c r="H768" i="8" s="1"/>
  <c r="E770" i="8"/>
  <c r="H770" i="8" s="1"/>
  <c r="E772" i="8"/>
  <c r="H772" i="8" s="1"/>
  <c r="E774" i="8"/>
  <c r="H774" i="8" s="1"/>
  <c r="E776" i="8"/>
  <c r="H776" i="8" s="1"/>
  <c r="E778" i="8"/>
  <c r="H778" i="8" s="1"/>
  <c r="E780" i="8"/>
  <c r="H780" i="8" s="1"/>
  <c r="E782" i="8"/>
  <c r="H782" i="8" s="1"/>
  <c r="E784" i="8"/>
  <c r="H784" i="8" s="1"/>
  <c r="E786" i="8"/>
  <c r="H786" i="8" s="1"/>
  <c r="E788" i="8"/>
  <c r="H788" i="8" s="1"/>
  <c r="E790" i="8"/>
  <c r="H790" i="8" s="1"/>
  <c r="E792" i="8"/>
  <c r="H792" i="8" s="1"/>
  <c r="E794" i="8"/>
  <c r="H794" i="8" s="1"/>
  <c r="E796" i="8"/>
  <c r="H796" i="8" s="1"/>
  <c r="E798" i="8"/>
  <c r="H798" i="8" s="1"/>
  <c r="E800" i="8"/>
  <c r="H800" i="8" s="1"/>
  <c r="E802" i="8"/>
  <c r="H802" i="8" s="1"/>
  <c r="E804" i="8"/>
  <c r="H804" i="8" s="1"/>
  <c r="E806" i="8"/>
  <c r="H806" i="8" s="1"/>
  <c r="E808" i="8"/>
  <c r="H808" i="8" s="1"/>
  <c r="E810" i="8"/>
  <c r="H810" i="8" s="1"/>
  <c r="H1100" i="8"/>
  <c r="H1519" i="8"/>
  <c r="H727" i="8"/>
  <c r="H736" i="8"/>
  <c r="H744" i="8"/>
  <c r="H752" i="8"/>
  <c r="D7" i="3"/>
  <c r="D6" i="3"/>
  <c r="G6" i="3" s="1"/>
  <c r="I16" i="8" l="1"/>
  <c r="I1577" i="8"/>
  <c r="I1212" i="8"/>
  <c r="E1490" i="8" s="1"/>
  <c r="I366" i="8"/>
  <c r="I527" i="8"/>
  <c r="F172" i="8"/>
  <c r="H172" i="8" s="1"/>
  <c r="I170" i="8" s="1"/>
  <c r="I334" i="8"/>
  <c r="I663" i="8"/>
  <c r="I440" i="8"/>
  <c r="I1102" i="8"/>
  <c r="I1519" i="8"/>
  <c r="I393" i="8"/>
  <c r="I1087" i="8"/>
  <c r="F121" i="5"/>
  <c r="F81" i="5"/>
  <c r="G80" i="5" s="1"/>
  <c r="G1592" i="8" l="1"/>
  <c r="H1592" i="8" s="1"/>
  <c r="H1490" i="8"/>
  <c r="I1490" i="8"/>
  <c r="F23" i="5"/>
  <c r="F16" i="5"/>
  <c r="F15" i="5"/>
  <c r="F14" i="5"/>
  <c r="I1586" i="8" l="1"/>
  <c r="F102" i="5" s="1"/>
  <c r="I1518" i="8"/>
  <c r="F131" i="5"/>
  <c r="F133" i="5"/>
  <c r="F130" i="5"/>
  <c r="F132" i="5"/>
  <c r="F120" i="5"/>
  <c r="F109" i="5"/>
  <c r="F113" i="5"/>
  <c r="F112" i="5"/>
  <c r="F106" i="5"/>
  <c r="G111" i="5" l="1"/>
  <c r="F103" i="5"/>
  <c r="D19" i="5"/>
  <c r="F207" i="5"/>
  <c r="G206" i="5" s="1"/>
  <c r="C9" i="7" s="1"/>
  <c r="F129" i="5" l="1"/>
  <c r="G128" i="5" s="1"/>
  <c r="B8" i="7" l="1"/>
  <c r="B7" i="7" l="1"/>
  <c r="B6" i="7"/>
  <c r="B5" i="7"/>
  <c r="B4" i="7"/>
  <c r="B3" i="7"/>
  <c r="F79" i="5" l="1"/>
  <c r="F115" i="5"/>
  <c r="F105" i="5"/>
  <c r="F107" i="5"/>
  <c r="F104" i="5"/>
  <c r="F117" i="5"/>
  <c r="F116" i="5"/>
  <c r="F119" i="5"/>
  <c r="G114" i="5" l="1"/>
  <c r="F85" i="5"/>
  <c r="F84" i="5"/>
  <c r="G83" i="5" l="1"/>
  <c r="F99" i="5" l="1"/>
  <c r="F101" i="5"/>
  <c r="F139" i="5"/>
  <c r="F151" i="5"/>
  <c r="F150" i="5"/>
  <c r="F149" i="5"/>
  <c r="F141" i="5"/>
  <c r="F138" i="5"/>
  <c r="F137" i="5"/>
  <c r="F98" i="5"/>
  <c r="F97" i="5"/>
  <c r="F42" i="5"/>
  <c r="F29" i="5"/>
  <c r="F22" i="5"/>
  <c r="F17" i="5"/>
  <c r="F12" i="5"/>
  <c r="F11" i="5"/>
  <c r="G148" i="5" l="1"/>
  <c r="G136" i="5"/>
  <c r="G10" i="5"/>
  <c r="F199" i="5"/>
  <c r="F19" i="5"/>
  <c r="F90" i="5" l="1"/>
  <c r="F100" i="5" l="1"/>
  <c r="G213" i="3" l="1"/>
  <c r="H213" i="3" s="1"/>
  <c r="G223" i="3"/>
  <c r="G222" i="3"/>
  <c r="G221" i="3"/>
  <c r="G212" i="3"/>
  <c r="H212" i="3" s="1"/>
  <c r="G211" i="3"/>
  <c r="H211" i="3" s="1"/>
  <c r="G210" i="3"/>
  <c r="H210" i="3" s="1"/>
  <c r="G227" i="3"/>
  <c r="G225" i="3"/>
  <c r="G219" i="3"/>
  <c r="G218" i="3"/>
  <c r="G217" i="3"/>
  <c r="G208" i="3"/>
  <c r="H208" i="3" s="1"/>
  <c r="G207" i="3"/>
  <c r="H207" i="3" s="1"/>
  <c r="F122" i="5" s="1"/>
  <c r="G118" i="5" s="1"/>
  <c r="G206" i="3"/>
  <c r="H206" i="3" s="1"/>
  <c r="F146" i="5" s="1"/>
  <c r="G205" i="3"/>
  <c r="H205" i="3" s="1"/>
  <c r="F147" i="5" s="1"/>
  <c r="G200" i="3"/>
  <c r="H200" i="3" s="1"/>
  <c r="F143" i="5" l="1"/>
  <c r="G140" i="5" s="1"/>
  <c r="H216" i="3"/>
  <c r="G155" i="3"/>
  <c r="G126" i="3"/>
  <c r="H126" i="3" s="1"/>
  <c r="G195" i="3"/>
  <c r="H195" i="3" s="1"/>
  <c r="G190" i="3"/>
  <c r="G189" i="3"/>
  <c r="G188" i="3"/>
  <c r="G187" i="3"/>
  <c r="G154" i="3"/>
  <c r="H181" i="3"/>
  <c r="F194" i="5" s="1"/>
  <c r="G152" i="3"/>
  <c r="G151" i="3"/>
  <c r="H179" i="3"/>
  <c r="G134" i="3"/>
  <c r="H134" i="3" s="1"/>
  <c r="G132" i="3"/>
  <c r="H132" i="3" s="1"/>
  <c r="G131" i="3"/>
  <c r="H131" i="3" s="1"/>
  <c r="G128" i="3"/>
  <c r="H128" i="3" s="1"/>
  <c r="F176" i="5" s="1"/>
  <c r="G127" i="3"/>
  <c r="H127" i="3" s="1"/>
  <c r="F175" i="5" s="1"/>
  <c r="G125" i="3"/>
  <c r="H125" i="3" s="1"/>
  <c r="F174" i="5" s="1"/>
  <c r="G124" i="3"/>
  <c r="H124" i="3" s="1"/>
  <c r="F172" i="5" s="1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49" i="3"/>
  <c r="F197" i="5" s="1"/>
  <c r="G41" i="3"/>
  <c r="G45" i="3"/>
  <c r="G28" i="3"/>
  <c r="H28" i="3" s="1"/>
  <c r="F198" i="5" s="1"/>
  <c r="G23" i="3"/>
  <c r="H23" i="3" s="1"/>
  <c r="F166" i="5" s="1"/>
  <c r="G7" i="3"/>
  <c r="G5" i="3"/>
  <c r="H151" i="3" l="1"/>
  <c r="H5" i="3"/>
  <c r="F182" i="5"/>
  <c r="F178" i="5"/>
  <c r="F184" i="5"/>
  <c r="F180" i="5"/>
  <c r="F190" i="5"/>
  <c r="F192" i="5"/>
  <c r="H90" i="3"/>
  <c r="F171" i="5" s="1"/>
  <c r="F181" i="5"/>
  <c r="F177" i="5"/>
  <c r="F187" i="5"/>
  <c r="G135" i="5"/>
  <c r="C6" i="7" s="1"/>
  <c r="F205" i="5"/>
  <c r="H187" i="3"/>
  <c r="F203" i="5" s="1"/>
  <c r="G202" i="5" s="1"/>
  <c r="G137" i="3"/>
  <c r="H137" i="3" s="1"/>
  <c r="F186" i="5" s="1"/>
  <c r="G35" i="3"/>
  <c r="G42" i="3"/>
  <c r="H41" i="3" s="1"/>
  <c r="F201" i="5" s="1"/>
  <c r="G54" i="3"/>
  <c r="H54" i="3" s="1"/>
  <c r="F170" i="5" s="1"/>
  <c r="G36" i="3"/>
  <c r="G17" i="3"/>
  <c r="H17" i="3" s="1"/>
  <c r="F167" i="5" s="1"/>
  <c r="F108" i="5"/>
  <c r="G96" i="5" s="1"/>
  <c r="G169" i="5" l="1"/>
  <c r="G185" i="5"/>
  <c r="G204" i="5"/>
  <c r="C8" i="7" s="1"/>
  <c r="H35" i="3"/>
  <c r="F200" i="5" s="1"/>
  <c r="G196" i="5" s="1"/>
  <c r="H45" i="3"/>
  <c r="F163" i="5"/>
  <c r="G162" i="5" s="1"/>
  <c r="F92" i="5"/>
  <c r="F59" i="5"/>
  <c r="G161" i="5" l="1"/>
  <c r="C7" i="7" s="1"/>
  <c r="F76" i="5"/>
  <c r="F88" i="5"/>
  <c r="F87" i="5"/>
  <c r="F72" i="5"/>
  <c r="G71" i="5" s="1"/>
  <c r="F32" i="5"/>
  <c r="F77" i="5"/>
  <c r="F91" i="5"/>
  <c r="F61" i="5"/>
  <c r="F60" i="5"/>
  <c r="G86" i="5" l="1"/>
  <c r="G58" i="5"/>
  <c r="F78" i="5"/>
  <c r="G75" i="5" s="1"/>
  <c r="G70" i="5" s="1"/>
  <c r="F55" i="5"/>
  <c r="F56" i="5"/>
  <c r="F52" i="5" l="1"/>
  <c r="F50" i="5" l="1"/>
  <c r="F39" i="5" l="1"/>
  <c r="F48" i="5"/>
  <c r="F51" i="5"/>
  <c r="G49" i="5" s="1"/>
  <c r="F46" i="5"/>
  <c r="F47" i="5"/>
  <c r="G45" i="5" l="1"/>
  <c r="F38" i="5"/>
  <c r="F43" i="5"/>
  <c r="F37" i="5"/>
  <c r="G36" i="5" l="1"/>
  <c r="F33" i="5"/>
  <c r="G31" i="5" s="1"/>
  <c r="F27" i="5"/>
  <c r="F41" i="5" l="1"/>
  <c r="G40" i="5" s="1"/>
  <c r="F68" i="5" l="1"/>
  <c r="F57" i="5"/>
  <c r="F54" i="5" l="1"/>
  <c r="G53" i="5" s="1"/>
  <c r="F20" i="5"/>
  <c r="F21" i="5"/>
  <c r="F26" i="5"/>
  <c r="F25" i="5"/>
  <c r="F28" i="5"/>
  <c r="F63" i="5"/>
  <c r="F64" i="5"/>
  <c r="F65" i="5"/>
  <c r="F67" i="5"/>
  <c r="F69" i="5"/>
  <c r="G24" i="5" l="1"/>
  <c r="G62" i="5"/>
  <c r="G66" i="5"/>
  <c r="F18" i="5"/>
  <c r="G13" i="5" s="1"/>
  <c r="C5" i="7" l="1"/>
  <c r="G30" i="5"/>
  <c r="G9" i="5"/>
  <c r="G213" i="5" l="1"/>
  <c r="G214" i="5" s="1"/>
  <c r="C4" i="7"/>
  <c r="C3" i="7"/>
  <c r="C12" i="7" l="1"/>
  <c r="C13" i="7" s="1"/>
  <c r="G215" i="5"/>
  <c r="C14" i="7" l="1"/>
</calcChain>
</file>

<file path=xl/comments1.xml><?xml version="1.0" encoding="utf-8"?>
<comments xmlns="http://schemas.openxmlformats.org/spreadsheetml/2006/main">
  <authors>
    <author>JORGE MONCADA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Los andamios que se han considerados son los comunes con plataforma metalica  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Se ha considerado asentado con ladrillo kk 18 h echo a maquina sin acabado caravista el acabado sera tipo solaqueado.
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Se ha considerado asentado con ladrillo kk 18 h echo a maquina sin acabado caravista. El acabado sera tipo solaqueado.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Se ha considerado asentado con ladrillo kk 18 h echo a maquina sin acabado caravista. El acabado sera tipo solaqueado
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esta incluido accesorios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esta incluido griferia y accesorios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esta incluido griferia y accesorios
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de H=1.5  d=0.8 con tapa de concreto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JORGE MONCADA:</t>
        </r>
        <r>
          <rPr>
            <sz val="9"/>
            <color indexed="81"/>
            <rFont val="Tahoma"/>
            <family val="2"/>
          </rPr>
          <t xml:space="preserve">
Se ha consideradola construccion de vereda a todo lo largo de fachada  con f´c= 175 kg/cm2, sin acero </t>
        </r>
      </text>
    </comment>
  </commentList>
</comments>
</file>

<file path=xl/sharedStrings.xml><?xml version="1.0" encoding="utf-8"?>
<sst xmlns="http://schemas.openxmlformats.org/spreadsheetml/2006/main" count="3009" uniqueCount="744">
  <si>
    <t>ITEM</t>
  </si>
  <si>
    <t>PARCIAL</t>
  </si>
  <si>
    <t>ZAPATAS</t>
  </si>
  <si>
    <t>Kg</t>
  </si>
  <si>
    <t>SOBRECIMIENTO</t>
  </si>
  <si>
    <t>COLUMNAS</t>
  </si>
  <si>
    <t>Und</t>
  </si>
  <si>
    <t>LOSAS VARIAS</t>
  </si>
  <si>
    <t>TARRAJEOS</t>
  </si>
  <si>
    <t>ML</t>
  </si>
  <si>
    <t>PINTURA</t>
  </si>
  <si>
    <t>ml</t>
  </si>
  <si>
    <t>TOTAL</t>
  </si>
  <si>
    <t>DESCRIPCION</t>
  </si>
  <si>
    <t>VECES</t>
  </si>
  <si>
    <t>LARGO</t>
  </si>
  <si>
    <t>ANCHO</t>
  </si>
  <si>
    <t>ALTO</t>
  </si>
  <si>
    <t>TAREAS PRELIMINARES</t>
  </si>
  <si>
    <t>m2</t>
  </si>
  <si>
    <t>Area de terreno</t>
  </si>
  <si>
    <t>m3</t>
  </si>
  <si>
    <t>CONCRETO 210 Kg/cm2</t>
  </si>
  <si>
    <t>ACERO 4200 kg/cm2</t>
  </si>
  <si>
    <t>kg</t>
  </si>
  <si>
    <t>5/8"</t>
  </si>
  <si>
    <t>3/8"</t>
  </si>
  <si>
    <t>ENCOFRADO Y DESENCOFRADO</t>
  </si>
  <si>
    <t>1/2"</t>
  </si>
  <si>
    <t>1/4"</t>
  </si>
  <si>
    <t>und</t>
  </si>
  <si>
    <t>LADRILLO DE TECHO</t>
  </si>
  <si>
    <t>MUROS DE LADRILLO</t>
  </si>
  <si>
    <t>Tarrajeo primario</t>
  </si>
  <si>
    <t>PISOS Y CONTRAPISOS</t>
  </si>
  <si>
    <t>ZOCALOS Y CONTRAZOCALOS</t>
  </si>
  <si>
    <t xml:space="preserve">Zocalo </t>
  </si>
  <si>
    <t>COBERTURA</t>
  </si>
  <si>
    <t>Instalac. Ladrillo pastelero 25 x 25 x 3 cm apoyado sobre pegamento bituminoso ó manto asfaltico tipo Megaflex</t>
  </si>
  <si>
    <t>CONCERTINA</t>
  </si>
  <si>
    <t>Instalacion de concertina</t>
  </si>
  <si>
    <t>UBICACIÓN</t>
  </si>
  <si>
    <t>A01</t>
  </si>
  <si>
    <t>OBSERVACIÓN</t>
  </si>
  <si>
    <t>CONCRETO 175 Kg/cm2</t>
  </si>
  <si>
    <t>combustible y fibra</t>
  </si>
  <si>
    <t>LOSA ALIGERADA Techo</t>
  </si>
  <si>
    <t>Losa de Grupo Electrógeno</t>
  </si>
  <si>
    <t>Cuneta</t>
  </si>
  <si>
    <t>IIEE</t>
  </si>
  <si>
    <t>Energizacion</t>
  </si>
  <si>
    <t xml:space="preserve">VIGAS </t>
  </si>
  <si>
    <t>EEMM</t>
  </si>
  <si>
    <t>Planchas acanaladas</t>
  </si>
  <si>
    <t>Perfiles</t>
  </si>
  <si>
    <t>tubos circulares</t>
  </si>
  <si>
    <t>tubos cuadrados</t>
  </si>
  <si>
    <t>Marco de metal</t>
  </si>
  <si>
    <t>Accesorios y pernería</t>
  </si>
  <si>
    <t>Malla</t>
  </si>
  <si>
    <t>Perfiles L</t>
  </si>
  <si>
    <t>Tubo cuadrado</t>
  </si>
  <si>
    <t>Caja de Buzon de Fibra Optica</t>
  </si>
  <si>
    <t>Caja de Buzon de Agua</t>
  </si>
  <si>
    <t>Caja de Buzon de Desague</t>
  </si>
  <si>
    <t>Aterramiento</t>
  </si>
  <si>
    <t>Ejes 4 - A</t>
  </si>
  <si>
    <t>Ejes 3 - A</t>
  </si>
  <si>
    <t>Ejes 1 - A</t>
  </si>
  <si>
    <t>Ejes 4 - B</t>
  </si>
  <si>
    <t>Ejes 3 - B</t>
  </si>
  <si>
    <t>Ejes 2 - B</t>
  </si>
  <si>
    <t>Ejes 1 - B</t>
  </si>
  <si>
    <t>Ejes 4 - C</t>
  </si>
  <si>
    <t>Ejes 3 - D</t>
  </si>
  <si>
    <t>Ejes 3 - E</t>
  </si>
  <si>
    <t>CIMIENTOS CORRIDOS</t>
  </si>
  <si>
    <t>Eje 4</t>
  </si>
  <si>
    <t>Tipo 1</t>
  </si>
  <si>
    <t>Ejes D - E</t>
  </si>
  <si>
    <t>Ejes A - B</t>
  </si>
  <si>
    <t>Ejes B - C</t>
  </si>
  <si>
    <t>Eje 3</t>
  </si>
  <si>
    <t>Tipo 3</t>
  </si>
  <si>
    <t>Tipo 2</t>
  </si>
  <si>
    <t>Tipo 4</t>
  </si>
  <si>
    <t>Tipo 7</t>
  </si>
  <si>
    <t>Eje 2</t>
  </si>
  <si>
    <t>Eje 1</t>
  </si>
  <si>
    <t>Eje A</t>
  </si>
  <si>
    <t>Eje B</t>
  </si>
  <si>
    <t>Eje C</t>
  </si>
  <si>
    <t>Eje D</t>
  </si>
  <si>
    <t>Eje E</t>
  </si>
  <si>
    <t>Tipo 6</t>
  </si>
  <si>
    <t>LOSAS</t>
  </si>
  <si>
    <t>Losa de Ingreso</t>
  </si>
  <si>
    <t>Corte 5-5</t>
  </si>
  <si>
    <t>MOVIMIENTO DE TIERRAS</t>
  </si>
  <si>
    <t>EXCAVACIÓN</t>
  </si>
  <si>
    <t>Losa escalera de Gato</t>
  </si>
  <si>
    <t>Corte x-x</t>
  </si>
  <si>
    <t>Losa de Generador Electrico</t>
  </si>
  <si>
    <t xml:space="preserve">No hay corte </t>
  </si>
  <si>
    <t>Para relleno compactado</t>
  </si>
  <si>
    <t>Area de Operaciones</t>
  </si>
  <si>
    <t>Data Center</t>
  </si>
  <si>
    <t>SSHH Damas</t>
  </si>
  <si>
    <t>SSHH Varones</t>
  </si>
  <si>
    <t xml:space="preserve">Oficina del supervisor </t>
  </si>
  <si>
    <t>Almacen</t>
  </si>
  <si>
    <t>Caseta de generador</t>
  </si>
  <si>
    <t>Patio</t>
  </si>
  <si>
    <t>Rampa</t>
  </si>
  <si>
    <t>Area=</t>
  </si>
  <si>
    <t>Seccion 10-10</t>
  </si>
  <si>
    <t>Area Lateral=</t>
  </si>
  <si>
    <t>Canaleta Generador Electrico</t>
  </si>
  <si>
    <t>Area para refine y nivelacion</t>
  </si>
  <si>
    <t xml:space="preserve">RELLENO </t>
  </si>
  <si>
    <t>Area</t>
  </si>
  <si>
    <t>Tipo 1´</t>
  </si>
  <si>
    <t>Losa de Generador Eléctrico</t>
  </si>
  <si>
    <t>CIMIENTO CORRIDO</t>
  </si>
  <si>
    <t xml:space="preserve">ENCOFRADO </t>
  </si>
  <si>
    <t>Columna C-1</t>
  </si>
  <si>
    <t>Columna C-2</t>
  </si>
  <si>
    <t>Ejes 1 - D</t>
  </si>
  <si>
    <t>Ejes 1 - E</t>
  </si>
  <si>
    <t>Long</t>
  </si>
  <si>
    <t>Trasv</t>
  </si>
  <si>
    <t>kg/m</t>
  </si>
  <si>
    <t>HR</t>
  </si>
  <si>
    <t>Area de operaciones 1</t>
  </si>
  <si>
    <t>Sala de Reuniones</t>
  </si>
  <si>
    <t>SSHH</t>
  </si>
  <si>
    <t>GE 1</t>
  </si>
  <si>
    <t>Temperatura</t>
  </si>
  <si>
    <t xml:space="preserve">GE </t>
  </si>
  <si>
    <t>CONCRETO POBRE</t>
  </si>
  <si>
    <t>SOLADOS</t>
  </si>
  <si>
    <t>Losa Escalera de Gato</t>
  </si>
  <si>
    <t>Losa de Generador</t>
  </si>
  <si>
    <t>Losa de Escalera de gato</t>
  </si>
  <si>
    <t>Graniplast</t>
  </si>
  <si>
    <t xml:space="preserve">Hall </t>
  </si>
  <si>
    <t>Ingreso</t>
  </si>
  <si>
    <t>Tarrajeo exterior</t>
  </si>
  <si>
    <t>Hall</t>
  </si>
  <si>
    <t>Porcelanato BEIGE</t>
  </si>
  <si>
    <t>Acabado Pulido</t>
  </si>
  <si>
    <t>LATEX  DOS MANOS PARED</t>
  </si>
  <si>
    <t>CIELO RASO</t>
  </si>
  <si>
    <t>COBERTURA DE POLICARBONATO OPACO</t>
  </si>
  <si>
    <t>COBERTURA DE POLICARBONATO TRASLUCIDO</t>
  </si>
  <si>
    <t>Buzones</t>
  </si>
  <si>
    <t>100mm∅PVC-P VIENE DEL MEDIDOR</t>
  </si>
  <si>
    <t>TTA - TG01</t>
  </si>
  <si>
    <t xml:space="preserve">TUBERIAS DE 100mm∅PVC-P </t>
  </si>
  <si>
    <t>TG01 - TD1</t>
  </si>
  <si>
    <t xml:space="preserve">TUBERIA DE 25mm∅PVC-P </t>
  </si>
  <si>
    <t>40mm∅PVC-P VIENE DEL TG-01</t>
  </si>
  <si>
    <t>35mm∅PVC-P VIENE DEL TG-01</t>
  </si>
  <si>
    <t>Cable de Cu 50 mm ANILLO cobre desnudo</t>
  </si>
  <si>
    <t>25 mm∅PVC-P</t>
  </si>
  <si>
    <t>Pozos convencionales</t>
  </si>
  <si>
    <t>PLANTA DE ALUMBRADO</t>
  </si>
  <si>
    <t>20mm∅ PVC-P</t>
  </si>
  <si>
    <t>Luces de emergencia</t>
  </si>
  <si>
    <t>Cajas de pase 4x4x2"</t>
  </si>
  <si>
    <t>Luminaria adosable</t>
  </si>
  <si>
    <t>Downligth</t>
  </si>
  <si>
    <t>Interruptores</t>
  </si>
  <si>
    <t>simples</t>
  </si>
  <si>
    <t xml:space="preserve">dobles </t>
  </si>
  <si>
    <t>Conmutados</t>
  </si>
  <si>
    <t>tomacorrientes</t>
  </si>
  <si>
    <t>tomacorrientes simples</t>
  </si>
  <si>
    <t>Salidas de fuerza AA</t>
  </si>
  <si>
    <t>DATA</t>
  </si>
  <si>
    <t>TUBERIA-35mm∅PVC-P</t>
  </si>
  <si>
    <t>Puntos de data</t>
  </si>
  <si>
    <t>IISS</t>
  </si>
  <si>
    <t>Tubo 1/2" - Agua</t>
  </si>
  <si>
    <t>Tubo 2" - Desague</t>
  </si>
  <si>
    <t>Tubo 4" - Desague</t>
  </si>
  <si>
    <t>canaleta de drenaje</t>
  </si>
  <si>
    <t>caja de registro</t>
  </si>
  <si>
    <t>Seguridad</t>
  </si>
  <si>
    <t>Intrusion</t>
  </si>
  <si>
    <t>caja en techo</t>
  </si>
  <si>
    <t>caja en pared</t>
  </si>
  <si>
    <t>Detección</t>
  </si>
  <si>
    <t>Video</t>
  </si>
  <si>
    <t>cajas en Pared</t>
  </si>
  <si>
    <t>Inodoros</t>
  </si>
  <si>
    <t>Lavatorio</t>
  </si>
  <si>
    <t>Urinario</t>
  </si>
  <si>
    <t>Registro 4"</t>
  </si>
  <si>
    <t>Sardinel techo</t>
  </si>
  <si>
    <t>Laterales</t>
  </si>
  <si>
    <t>1 1/2"</t>
  </si>
  <si>
    <t>Peldaños</t>
  </si>
  <si>
    <t>1"</t>
  </si>
  <si>
    <t>Guardacuerpos</t>
  </si>
  <si>
    <t>Platinas</t>
  </si>
  <si>
    <t>3/16"</t>
  </si>
  <si>
    <t>DESCRIPCIÓN</t>
  </si>
  <si>
    <t>U.M</t>
  </si>
  <si>
    <t>METRADO</t>
  </si>
  <si>
    <t>PU</t>
  </si>
  <si>
    <t>SUB TOTAL</t>
  </si>
  <si>
    <t>OBRAS PROVISIONALES Y PRELIMINARES</t>
  </si>
  <si>
    <t xml:space="preserve">PARTIDAS PROVISIONALES </t>
  </si>
  <si>
    <t>Seguridad, Salud y Medio Ambiente durante obra</t>
  </si>
  <si>
    <t>glb</t>
  </si>
  <si>
    <t>GLB</t>
  </si>
  <si>
    <t>PARTIDAS PRELIMINARES</t>
  </si>
  <si>
    <t>Movilización y desmovilización de personal y equipos</t>
  </si>
  <si>
    <t>Transporte de materiales a obra</t>
  </si>
  <si>
    <t>M3</t>
  </si>
  <si>
    <t>Limpieza, desbroce de terreno manual</t>
  </si>
  <si>
    <t>M2</t>
  </si>
  <si>
    <t>Trazo, niveles y replanteo preliminar</t>
  </si>
  <si>
    <t>MOVIMIENTO DE TIERRA</t>
  </si>
  <si>
    <t>Excavacion de p/zapatas suelo Intermedio.</t>
  </si>
  <si>
    <t>Excavacion de zanjas p/cimientos corridos suelo Intermedio.</t>
  </si>
  <si>
    <t>CONCRETO SIMPLE</t>
  </si>
  <si>
    <t>CONCRETO ARMADO</t>
  </si>
  <si>
    <t xml:space="preserve">Concreto 210 kg/cm2 </t>
  </si>
  <si>
    <t xml:space="preserve">Encofrado y desencofrado </t>
  </si>
  <si>
    <t xml:space="preserve">Concreto 175 kg/cm2 </t>
  </si>
  <si>
    <t>ARQUITECTURA</t>
  </si>
  <si>
    <t>PISOS</t>
  </si>
  <si>
    <t>Contrazocalo H=10cm</t>
  </si>
  <si>
    <t>Instalación de cuello de ganzo</t>
  </si>
  <si>
    <t>OTROS</t>
  </si>
  <si>
    <t>Suministro e instalacion de canaleta p/evacuación de aguas de lluvia de PVC d=4"  con accesorios</t>
  </si>
  <si>
    <t>Instalación de concertina de D=0.45m</t>
  </si>
  <si>
    <t>INSTALACIONES SANITARIAS</t>
  </si>
  <si>
    <t>APARATOS Y ACCESORIOS SANITARIOS</t>
  </si>
  <si>
    <t>Suministro e Instalación de inodoro</t>
  </si>
  <si>
    <t>Pza</t>
  </si>
  <si>
    <t>Suministro e Instalación de lavatorio</t>
  </si>
  <si>
    <t>REDES SANITARIAS</t>
  </si>
  <si>
    <t xml:space="preserve">Salida d/agua fria inc. Tub PVC-SAP C-10 y Acces. 1/2" </t>
  </si>
  <si>
    <t>Pto</t>
  </si>
  <si>
    <t>Tuberia PVC SAP clase 10 SP p/agua fria 1/2"</t>
  </si>
  <si>
    <t>Tuberia PVC SAP 4"</t>
  </si>
  <si>
    <t>Tuberia PVC SAP 2"</t>
  </si>
  <si>
    <t>ACCESORIOS SANITARIOS</t>
  </si>
  <si>
    <t>INSTALACIONES ELECTRICAS</t>
  </si>
  <si>
    <t>Ml</t>
  </si>
  <si>
    <t>SPAT - Convencional</t>
  </si>
  <si>
    <t>Pozo a tierra con varilla de cobre de 3/4"x2.40m(Inc mano de obra y materiales)</t>
  </si>
  <si>
    <t>Anillo de SPAT ( incluye: Instalación y suministro de cable desnudo de 50mm2  (Inc mano de obra, Barras y materiales)</t>
  </si>
  <si>
    <t>Aterramiento (incluye: Instalación y suministro de cable forrado de 50mm2)</t>
  </si>
  <si>
    <t>Aterramiento ( Incluye: cable Cu forrado 25mm2 (Inc mano de obra y materiales)</t>
  </si>
  <si>
    <t>SEGURIDAD</t>
  </si>
  <si>
    <t>Canalizaciones, entubado para Instalaciones de sistemas de seguridad (incluye colocacion de salidas y cajas pase)</t>
  </si>
  <si>
    <t>COSTO DIRECTO</t>
  </si>
  <si>
    <t>ELIMINACION DE MATERIAL EXCEDENTE</t>
  </si>
  <si>
    <t xml:space="preserve">ELIMINACION </t>
  </si>
  <si>
    <t>VIGAS</t>
  </si>
  <si>
    <t>LOSA ALIGERADA</t>
  </si>
  <si>
    <t>Ladrillo arcilla para techo 15x30x30 cm</t>
  </si>
  <si>
    <t>LOSAS MACIZA</t>
  </si>
  <si>
    <t>Corte de terreno con pendiente de hasta 1.5m por 10 m</t>
  </si>
  <si>
    <t>MUROS</t>
  </si>
  <si>
    <t xml:space="preserve">Muro de soga lad. KK 18h - caravista </t>
  </si>
  <si>
    <t>Tarrajeo Primario y rayado C:A-1:5  e=1.5cm</t>
  </si>
  <si>
    <t>Tarrajeos  C:A-1:5  e=1.5cm</t>
  </si>
  <si>
    <t>Cielo raso C:A-1:5  e=1.5cm</t>
  </si>
  <si>
    <t xml:space="preserve">Contrapiso e=4cm, base 3cm  C:H-1:5  acab 1cm pasta 1:2 </t>
  </si>
  <si>
    <t>Zocalo</t>
  </si>
  <si>
    <t>Suministro e Instalación de Urinario</t>
  </si>
  <si>
    <t>Instalación de Escalera de Gato</t>
  </si>
  <si>
    <t>Instalación de estructura de soporte para techo de policarbonato</t>
  </si>
  <si>
    <t>50mm∅PVC-P VIENE DEL TG-01</t>
  </si>
  <si>
    <t>Aterramiento ( Incluye: cable Cu forrado 16mm2 (Inc mano de obra y materiales)</t>
  </si>
  <si>
    <t>Cemento Pulido</t>
  </si>
  <si>
    <t>Pintura  Latex Satinado en elementos de concreto (MUROS)</t>
  </si>
  <si>
    <t>Pintura  Latex Satinado en elementos de concreto (CIELO RASO)</t>
  </si>
  <si>
    <t>Instalación de baranda metalica</t>
  </si>
  <si>
    <t>Suministro e instalacion de cobertura de Policarbonato  Opaco</t>
  </si>
  <si>
    <t>Suministro e instalacion de cobertura de Policarbonato  Traslucido</t>
  </si>
  <si>
    <t>VIDRIO</t>
  </si>
  <si>
    <t>MAMPARAS</t>
  </si>
  <si>
    <t>Suministro e instalacion de AcabadoGraniplast</t>
  </si>
  <si>
    <t>5.20.01</t>
  </si>
  <si>
    <t>5.20.03</t>
  </si>
  <si>
    <t>5.20.04</t>
  </si>
  <si>
    <t>6.10.02</t>
  </si>
  <si>
    <t>Suministro e instalacion de Piso de Porcelanato 60 x 60 Beige</t>
  </si>
  <si>
    <t>ESTRUCTURAS</t>
  </si>
  <si>
    <t>CUADRO RESUMEN_NOC TRANSPORTE</t>
  </si>
  <si>
    <t xml:space="preserve">Tiempo de entrega : </t>
  </si>
  <si>
    <t>Revisión:</t>
  </si>
  <si>
    <t xml:space="preserve">Contratista: </t>
  </si>
  <si>
    <t>Nombre de Local: NOC DE TRANSPORTE</t>
  </si>
  <si>
    <t>Área: 225 M2</t>
  </si>
  <si>
    <t xml:space="preserve">Fecha: </t>
  </si>
  <si>
    <t>1.10.01</t>
  </si>
  <si>
    <t>1.10.02</t>
  </si>
  <si>
    <t>1.20.01</t>
  </si>
  <si>
    <t>1.20.02</t>
  </si>
  <si>
    <t>1.20.03</t>
  </si>
  <si>
    <t>1.20.04</t>
  </si>
  <si>
    <t>1.20.05</t>
  </si>
  <si>
    <t>1.20.06</t>
  </si>
  <si>
    <t>1.30.01</t>
  </si>
  <si>
    <t>1.30.02</t>
  </si>
  <si>
    <t>1.30.03</t>
  </si>
  <si>
    <t>1.30.04</t>
  </si>
  <si>
    <t>2.20.10</t>
  </si>
  <si>
    <t>2.20.10.01</t>
  </si>
  <si>
    <t>2.20.10.02</t>
  </si>
  <si>
    <t>2.20.10.03</t>
  </si>
  <si>
    <t>2.20.20</t>
  </si>
  <si>
    <t>2.20.20.01</t>
  </si>
  <si>
    <t>2.20.20.02</t>
  </si>
  <si>
    <t>2.20.20.03</t>
  </si>
  <si>
    <t>3.10.01</t>
  </si>
  <si>
    <t>3.20.01</t>
  </si>
  <si>
    <t>3.20.02</t>
  </si>
  <si>
    <t>3.20.03</t>
  </si>
  <si>
    <t>3.20.04</t>
  </si>
  <si>
    <t>3.30.01</t>
  </si>
  <si>
    <t>3.40.01</t>
  </si>
  <si>
    <t>3.50.01</t>
  </si>
  <si>
    <t>3.50.02</t>
  </si>
  <si>
    <t>3.50.03</t>
  </si>
  <si>
    <t>3.50.04</t>
  </si>
  <si>
    <t>3.50.05</t>
  </si>
  <si>
    <t>3.50.06</t>
  </si>
  <si>
    <t>3.50.07</t>
  </si>
  <si>
    <t>3.50.08</t>
  </si>
  <si>
    <t>3.50.09</t>
  </si>
  <si>
    <t>3.50.10</t>
  </si>
  <si>
    <t>3.50.11</t>
  </si>
  <si>
    <t>3.50.12</t>
  </si>
  <si>
    <t>3.60.01</t>
  </si>
  <si>
    <t>3.60.02</t>
  </si>
  <si>
    <t>3.70.01</t>
  </si>
  <si>
    <t>3.70.03</t>
  </si>
  <si>
    <t>4.10.01</t>
  </si>
  <si>
    <t>4.10.02</t>
  </si>
  <si>
    <t>4.10.03</t>
  </si>
  <si>
    <t>4.20.01</t>
  </si>
  <si>
    <t>4.20.02</t>
  </si>
  <si>
    <t>4.20.03</t>
  </si>
  <si>
    <t>4.20.04</t>
  </si>
  <si>
    <t>4.30.01</t>
  </si>
  <si>
    <t>4.30.02</t>
  </si>
  <si>
    <t>4.30.03</t>
  </si>
  <si>
    <t>5.20.05</t>
  </si>
  <si>
    <t>5.20.06</t>
  </si>
  <si>
    <t>DETECCION, INTRUSION Y CCTV</t>
  </si>
  <si>
    <t>VOZ Y DATOS</t>
  </si>
  <si>
    <t>3.80.01</t>
  </si>
  <si>
    <t>AIRE ACONDICIONADO</t>
  </si>
  <si>
    <t>7.10.02</t>
  </si>
  <si>
    <t>Instalación de Plataforma para Condensarores</t>
  </si>
  <si>
    <t>1.30.05</t>
  </si>
  <si>
    <t>2.20.30</t>
  </si>
  <si>
    <t>2.20.30.01</t>
  </si>
  <si>
    <t>2.20.30.02</t>
  </si>
  <si>
    <t>2.20.30.03</t>
  </si>
  <si>
    <t>2.20.40</t>
  </si>
  <si>
    <t>2.20.40.01</t>
  </si>
  <si>
    <t>2.20.40.02</t>
  </si>
  <si>
    <t>2.20.40.03</t>
  </si>
  <si>
    <t>2.20.50</t>
  </si>
  <si>
    <t>2.20.50.01</t>
  </si>
  <si>
    <t>2.20.50.02</t>
  </si>
  <si>
    <t>2.20.50.03</t>
  </si>
  <si>
    <t>2.20.50.04</t>
  </si>
  <si>
    <t>2.20.60</t>
  </si>
  <si>
    <t>2.20.60.01</t>
  </si>
  <si>
    <t>2.20.60.02</t>
  </si>
  <si>
    <t>2.20.60.03</t>
  </si>
  <si>
    <t>2.20.70</t>
  </si>
  <si>
    <t>2.20.80</t>
  </si>
  <si>
    <t>2.20.80.01</t>
  </si>
  <si>
    <t>2.20.80.02</t>
  </si>
  <si>
    <t>2.20.80.03</t>
  </si>
  <si>
    <t>2.20.90.01</t>
  </si>
  <si>
    <t>2.20.90.02</t>
  </si>
  <si>
    <t>2.20.90.03</t>
  </si>
  <si>
    <t xml:space="preserve"> CARPINTERIA MADERA</t>
  </si>
  <si>
    <t xml:space="preserve"> CARPINTERIA METALICA </t>
  </si>
  <si>
    <t>Instalación de Puerta Cortafuergo Batiente Doble Hoja P7 de 1.50mts x 2.10mts</t>
  </si>
  <si>
    <t>Instalación de Puerta Cortafuego con barra Antipanico P4 de 1.20mts x 2.10mts</t>
  </si>
  <si>
    <t>Instalación de Puerta Metálica P6 de 0.80mts x 2.10mts</t>
  </si>
  <si>
    <t>Suministro e Instalación de Puerta de Madera contraplacada P2 de 1.00mts x 2.10mts</t>
  </si>
  <si>
    <t>Suministro e Instalación de Puerta de Madera contraplacada P3 de 0.90mts x 2.10mts</t>
  </si>
  <si>
    <t>VIDRIOS / POLICARBONATO</t>
  </si>
  <si>
    <t>3.70.04</t>
  </si>
  <si>
    <t>Suministro e instalacion de mampara de vidrio de 10mm para sala de reuniones y oficina</t>
  </si>
  <si>
    <t>3.80.02</t>
  </si>
  <si>
    <t>3.80.03</t>
  </si>
  <si>
    <t>3.80.04</t>
  </si>
  <si>
    <t>3.90.01</t>
  </si>
  <si>
    <t>3.90.02</t>
  </si>
  <si>
    <t>Suministro e instalacion de señaleticas tipo foto luminicentes</t>
  </si>
  <si>
    <t>Suministro e instalacion de extintores CO2</t>
  </si>
  <si>
    <t>Suministro e instalacion de extintores PQS</t>
  </si>
  <si>
    <t>3.90.03</t>
  </si>
  <si>
    <t>3.90.04</t>
  </si>
  <si>
    <t>3.90.05</t>
  </si>
  <si>
    <t>2.10.01</t>
  </si>
  <si>
    <t>2.10.02</t>
  </si>
  <si>
    <t>1.20.07</t>
  </si>
  <si>
    <t>Mes</t>
  </si>
  <si>
    <t>Agua y energia para la obra</t>
  </si>
  <si>
    <t>1.20.08</t>
  </si>
  <si>
    <t>Almacen y  Oficina Técnica</t>
  </si>
  <si>
    <t>Guardiania en Obra</t>
  </si>
  <si>
    <t>1.20.09</t>
  </si>
  <si>
    <t>Trabajos en altura (andamios normados)</t>
  </si>
  <si>
    <t>1.20.10</t>
  </si>
  <si>
    <t>REVOQUES Y ENLUCIDOS</t>
  </si>
  <si>
    <t>CIELORASO</t>
  </si>
  <si>
    <t>3.40.02</t>
  </si>
  <si>
    <t>Instalación de Puerta Metálica Batiente doble hoja de 2.60mts x 2.40mts (P8)</t>
  </si>
  <si>
    <t>de medidor a tablero ITM por zanja</t>
  </si>
  <si>
    <t>ITM a TTA</t>
  </si>
  <si>
    <t xml:space="preserve"> </t>
  </si>
  <si>
    <t>cable de control desde TTA</t>
  </si>
  <si>
    <t>Zapata 1</t>
  </si>
  <si>
    <t>Ejes 4´ - F</t>
  </si>
  <si>
    <t>Ejes 4´ - D</t>
  </si>
  <si>
    <t>Zapata 2</t>
  </si>
  <si>
    <t>Ejes 5´ - E</t>
  </si>
  <si>
    <t>Zapata 3</t>
  </si>
  <si>
    <t>Eje F</t>
  </si>
  <si>
    <t>Ejes 5´ - 4´</t>
  </si>
  <si>
    <t>Ejes 4´ - 3</t>
  </si>
  <si>
    <t>Ejes 3 - 2´</t>
  </si>
  <si>
    <t>Ejes 2´ - 1</t>
  </si>
  <si>
    <t>Ejes 1 - portico</t>
  </si>
  <si>
    <t>Ejes 4´</t>
  </si>
  <si>
    <t>Tipo 5</t>
  </si>
  <si>
    <t>Ejes 4 - 3</t>
  </si>
  <si>
    <t>Ejes 3 - 2</t>
  </si>
  <si>
    <t>Ejes 2 - 1</t>
  </si>
  <si>
    <t>Ejes 5 - 4</t>
  </si>
  <si>
    <t>Eje 5´</t>
  </si>
  <si>
    <t>Ejes E - F</t>
  </si>
  <si>
    <t>Eje 5</t>
  </si>
  <si>
    <t>Ejes A - D</t>
  </si>
  <si>
    <t>Eje 3-2</t>
  </si>
  <si>
    <t>Eje 2´</t>
  </si>
  <si>
    <t>Eje 2-1</t>
  </si>
  <si>
    <t>Canaleta Ingreso</t>
  </si>
  <si>
    <t>Seccion 8-8</t>
  </si>
  <si>
    <t>Sala de Operaciones</t>
  </si>
  <si>
    <t>Pasadizo</t>
  </si>
  <si>
    <t>columnas</t>
  </si>
  <si>
    <t>CONCRETO ( Ciclopeo 1:10 + 30% PG)</t>
  </si>
  <si>
    <t>CONCRETO (Ciclopeo 1:8 + 25% PM)</t>
  </si>
  <si>
    <t>Ejes B - D</t>
  </si>
  <si>
    <t>long</t>
  </si>
  <si>
    <t>Ejes 5´- F</t>
  </si>
  <si>
    <t>Ejes 3 - F</t>
  </si>
  <si>
    <t>Ejes 2´ - F</t>
  </si>
  <si>
    <t>Ejes 1 - F</t>
  </si>
  <si>
    <t>Ejes 5´ - D</t>
  </si>
  <si>
    <t>Ejes 2´ - D</t>
  </si>
  <si>
    <t>Ejes 5 - C</t>
  </si>
  <si>
    <t>Ejes 5 - B</t>
  </si>
  <si>
    <t>Ejes 5 - A</t>
  </si>
  <si>
    <t>Ejes 2 - A</t>
  </si>
  <si>
    <t xml:space="preserve">Ejes 4´- F </t>
  </si>
  <si>
    <t>Ejes 4´- D</t>
  </si>
  <si>
    <t>Columna C-3</t>
  </si>
  <si>
    <t xml:space="preserve">Ejes 5´- E </t>
  </si>
  <si>
    <t>Ejes 3 -  E</t>
  </si>
  <si>
    <t>Ejes 2´- E</t>
  </si>
  <si>
    <t>Columna C-4</t>
  </si>
  <si>
    <t>Ejes 4´/3 - D</t>
  </si>
  <si>
    <t>Ejes 3/2- B</t>
  </si>
  <si>
    <t>Ejes 3/2- A</t>
  </si>
  <si>
    <t>Columna C-5</t>
  </si>
  <si>
    <t>Ejes 1- E</t>
  </si>
  <si>
    <t>Columnas de salida de ducto</t>
  </si>
  <si>
    <t>VS 102</t>
  </si>
  <si>
    <t>Ejes 5´- 4´</t>
  </si>
  <si>
    <t>nivel mas alto horiz</t>
  </si>
  <si>
    <t>Ejes 4´- 3</t>
  </si>
  <si>
    <t>VP 103</t>
  </si>
  <si>
    <t>Verticales</t>
  </si>
  <si>
    <t>Eje 4´</t>
  </si>
  <si>
    <t>VP 104</t>
  </si>
  <si>
    <t>Ejes D - F</t>
  </si>
  <si>
    <t>Ejes F</t>
  </si>
  <si>
    <t>Niveles mas bajos horiz</t>
  </si>
  <si>
    <t>Entre F - E (tragaluz)</t>
  </si>
  <si>
    <t>VS 103</t>
  </si>
  <si>
    <t>VP 102</t>
  </si>
  <si>
    <t>VS 101</t>
  </si>
  <si>
    <t>VP 101</t>
  </si>
  <si>
    <t>Ejes 5 - 3</t>
  </si>
  <si>
    <t>Para ducto de ventilación</t>
  </si>
  <si>
    <t>Viguetas para ductos de ventilacion</t>
  </si>
  <si>
    <t>Vigueta de amarre de Muro</t>
  </si>
  <si>
    <t>VA</t>
  </si>
  <si>
    <t>Horiz</t>
  </si>
  <si>
    <t>Vert</t>
  </si>
  <si>
    <t>Dinteles</t>
  </si>
  <si>
    <t>3/4"</t>
  </si>
  <si>
    <t>Estos solo se encofran a ambos lados</t>
  </si>
  <si>
    <t xml:space="preserve">Area de operaciones </t>
  </si>
  <si>
    <t>Oficina de supervisor</t>
  </si>
  <si>
    <t>GE</t>
  </si>
  <si>
    <t xml:space="preserve">HALL </t>
  </si>
  <si>
    <t>Teatina</t>
  </si>
  <si>
    <t>HALL</t>
  </si>
  <si>
    <t>Oficina Supervisor</t>
  </si>
  <si>
    <t xml:space="preserve">LOSA MACIZA </t>
  </si>
  <si>
    <t>Losa para teatina</t>
  </si>
  <si>
    <t>Ventilacion de Baños</t>
  </si>
  <si>
    <t>Canaleta GE</t>
  </si>
  <si>
    <t>quitarle la viga intermedia</t>
  </si>
  <si>
    <t>ingreso</t>
  </si>
  <si>
    <t>P5</t>
  </si>
  <si>
    <t>P3</t>
  </si>
  <si>
    <t>P2</t>
  </si>
  <si>
    <t>P1</t>
  </si>
  <si>
    <t>P4</t>
  </si>
  <si>
    <t>P6</t>
  </si>
  <si>
    <t>P7</t>
  </si>
  <si>
    <t>Tarrajero Interior muros</t>
  </si>
  <si>
    <t>Muros  de ladrillo</t>
  </si>
  <si>
    <t>area</t>
  </si>
  <si>
    <t>Fachada</t>
  </si>
  <si>
    <t>Entrada</t>
  </si>
  <si>
    <t>Contrazocalo Porcelanato</t>
  </si>
  <si>
    <t>Contrazocalo cemento pulido</t>
  </si>
  <si>
    <t>Sin considerar las areas sobre el FCR</t>
  </si>
  <si>
    <t xml:space="preserve">DRYWALL </t>
  </si>
  <si>
    <t>FCR BALDOSAS</t>
  </si>
  <si>
    <t>SALA DE REUNIONES</t>
  </si>
  <si>
    <t>DATA CENTER</t>
  </si>
  <si>
    <t>OPERACIONES</t>
  </si>
  <si>
    <t>VENTANAS</t>
  </si>
  <si>
    <t>Ingreso de calle</t>
  </si>
  <si>
    <t>Piso de Bloques y Grass</t>
  </si>
  <si>
    <t>Estacionamiento</t>
  </si>
  <si>
    <t>Medidor a tablero</t>
  </si>
  <si>
    <t>TG01 -Hacia rectificador</t>
  </si>
  <si>
    <t>TG01 - Hacia Rack UPS Rectifier</t>
  </si>
  <si>
    <t>TE01 -  Hacia Rack UPS Rectifier</t>
  </si>
  <si>
    <t>PVC SAP 4"</t>
  </si>
  <si>
    <t>Para FO</t>
  </si>
  <si>
    <t>Cable de 1x50 mm2 (T) por tubería</t>
  </si>
  <si>
    <t>Jumper</t>
  </si>
  <si>
    <t>Cable 1x16mm2(T) TW</t>
  </si>
  <si>
    <t>Cable 1x25mm2(T) TW</t>
  </si>
  <si>
    <t>1x4mm2NHX-90</t>
  </si>
  <si>
    <t>Interruptor</t>
  </si>
  <si>
    <t>tablero</t>
  </si>
  <si>
    <t>interruptor</t>
  </si>
  <si>
    <t>triple</t>
  </si>
  <si>
    <t>Tomacorriente simples</t>
  </si>
  <si>
    <t>Tomacorrientes estabilizados</t>
  </si>
  <si>
    <t>40mm∅ PVC-P</t>
  </si>
  <si>
    <t>tomacorrientes estabilizados</t>
  </si>
  <si>
    <t>Tubo 1" - Agua</t>
  </si>
  <si>
    <t>Tubo 3/4" - Agua</t>
  </si>
  <si>
    <t>Sumidero</t>
  </si>
  <si>
    <t>metalica 4x4x2</t>
  </si>
  <si>
    <t>metalica 4x4x2 octogonal</t>
  </si>
  <si>
    <t>25mm∅ PVC-P</t>
  </si>
  <si>
    <t>Suministro e Instalacion de Drywall para muros e=12mm</t>
  </si>
  <si>
    <t>Contrazocalo cemento pulido H=10cm</t>
  </si>
  <si>
    <t>Instalación rejillas metálicas para drenaje (Cto. Grupo Electrógeno, Ingreso)</t>
  </si>
  <si>
    <t>Canalizaciones, entubado para Instalaciones de sistemas de AA (incluye colocacion de salidas y cajas pase)</t>
  </si>
  <si>
    <t>ESTRUCTURA METÁLICA PARA AA</t>
  </si>
  <si>
    <t>Barandas</t>
  </si>
  <si>
    <t>horizontales (lado más largo L=4.95)</t>
  </si>
  <si>
    <t>Plancha para verticales</t>
  </si>
  <si>
    <t>Esparragos</t>
  </si>
  <si>
    <t>horizontales (lado más corto L=4.0)</t>
  </si>
  <si>
    <t>Parantes (COLUMNAS 4"X4")</t>
  </si>
  <si>
    <t>Parantes</t>
  </si>
  <si>
    <t>plancha</t>
  </si>
  <si>
    <t xml:space="preserve">parriilla </t>
  </si>
  <si>
    <t>Viga H 4"*13 lb</t>
  </si>
  <si>
    <t>FALTA REJILLA ELECTROFORJADA</t>
  </si>
  <si>
    <t>ESTRUCTURA METÁLICA PARA TANQUE</t>
  </si>
  <si>
    <t>PARANTE DE 4"X4"</t>
  </si>
  <si>
    <t>PUERTA METALICA CONTRAINCENDIO</t>
  </si>
  <si>
    <t>SOPORTE DE POLICARBONATO</t>
  </si>
  <si>
    <t>PORTON METALICO</t>
  </si>
  <si>
    <t>SOPORTES PARA CONCERTINA</t>
  </si>
  <si>
    <t>CUELLO DE GANZO</t>
  </si>
  <si>
    <t>ESCALERA DE GATO CON GUARDACUERPOS</t>
  </si>
  <si>
    <t>3.50.13</t>
  </si>
  <si>
    <t>Instalación de Plataforma para Tanque Elevado</t>
  </si>
  <si>
    <t>3.30.02</t>
  </si>
  <si>
    <t>Suministro e Instalación de Tubería 100mm∅PVC-P para canalización</t>
  </si>
  <si>
    <t>Suministro e Instalación de Tubería 50mm∅PVC-P para canalización</t>
  </si>
  <si>
    <t>Suministro e Instalación de Tubería 40mm∅PVC-P para canalización</t>
  </si>
  <si>
    <t>Suministro e Instalación de Tubería 35mm∅PVC-P para canalización</t>
  </si>
  <si>
    <t>Suministro e Instalación de Tubería 25mm∅PVC-P para canalización</t>
  </si>
  <si>
    <t>Suministro e instalacion de tuberias para equipos de voz y datos. Tubería 35mm∅PVC-P</t>
  </si>
  <si>
    <t>Tableros</t>
  </si>
  <si>
    <t xml:space="preserve">Iluminacion </t>
  </si>
  <si>
    <t>5.10.01</t>
  </si>
  <si>
    <t>5.10.02</t>
  </si>
  <si>
    <t>5.10.03</t>
  </si>
  <si>
    <t>5.10.04</t>
  </si>
  <si>
    <t>5.10.05</t>
  </si>
  <si>
    <t>5.20.02</t>
  </si>
  <si>
    <t>Suministro e Instalación de cable para alumbrado 1x4 mm2 NHX-90</t>
  </si>
  <si>
    <t>5.20.07</t>
  </si>
  <si>
    <t>5.20.08</t>
  </si>
  <si>
    <t>Luminarias Tipo fluorescente</t>
  </si>
  <si>
    <t>Suministro e Instalación de Tubería 20mm∅PVC-P para canalización incluido cajas de pase y accesorios</t>
  </si>
  <si>
    <t>5.20.09</t>
  </si>
  <si>
    <t>5.20.10</t>
  </si>
  <si>
    <t>5.20.11</t>
  </si>
  <si>
    <t>Suministro e Instalación de Interruptores simples</t>
  </si>
  <si>
    <t>Suministro e Instalación de Interruptores Dobles</t>
  </si>
  <si>
    <t>Suministro e Instalación de Interruptores Triples</t>
  </si>
  <si>
    <t>Suministro e Instalación de Interruptores Conmutados</t>
  </si>
  <si>
    <t>Tomacorrientes</t>
  </si>
  <si>
    <t>5.20.12</t>
  </si>
  <si>
    <t>5.20.13</t>
  </si>
  <si>
    <t>Salidas para interruptores conmutados (incluye Tuberia, cajas de pase pesadas y cable ) indeco - pavco</t>
  </si>
  <si>
    <t xml:space="preserve">Salidas para interruptores simples incluye cable, tubería, Curvas y Accesorios </t>
  </si>
  <si>
    <t xml:space="preserve">Salidas para interruptores dobles incluye cable, tubería, Curvas y Accesorios </t>
  </si>
  <si>
    <t>5.20.14</t>
  </si>
  <si>
    <t xml:space="preserve">Salidas para interruptores triples incluye cable, tubería, Curvas y Accesorios </t>
  </si>
  <si>
    <t>Suministro e Instalación de cable para tomacorriente 1x4 mm2 NHX-90</t>
  </si>
  <si>
    <t>Suministro e Instalación de Tubería 25mm∅PVC-P para canalización incluido cajas de pase y accesorios</t>
  </si>
  <si>
    <t>Suministro e Instalación de Tubería 40mm∅PVC-P para canalización incluido cajas de pase y accesorios</t>
  </si>
  <si>
    <t>Salidas para Tomacorrientes Estabilizados Aterrados ((Incluye Tuberia, Cajas de pase pesadas, Cable, Caja Cuadrada y accesorios según plano) INDECO - PAVCO</t>
  </si>
  <si>
    <t>Salidas para Tomacorrientes Comerciales (Incluye Tuberia, Cajas de pase pesadas, Cable, Caja Cuadrada y accesorios según plano)INDECO - PAVCO</t>
  </si>
  <si>
    <t>Salida de fuerza para equipos de AA (Incluye Tuberia, Cajas de pase, Cable, según planos)INDECO - PAVCO</t>
  </si>
  <si>
    <t>Suministro e instalación de tomacorrientes dobles comerciales con línea a tierra, bticino serie DOMINO AVANT</t>
  </si>
  <si>
    <t>Suministro e instalación de tomacorrientes dobles estabilizados con línea a tierra bticino serie MODUS PLUS, color gris</t>
  </si>
  <si>
    <t>4.40.01</t>
  </si>
  <si>
    <t>4.40.02</t>
  </si>
  <si>
    <t>SISTEMA DE TANQUE ELEVADO</t>
  </si>
  <si>
    <t>Suministro e instalacion Luces de emergencia</t>
  </si>
  <si>
    <t>Suministro e Instalac. Sika Fleese para impermeabilizacion</t>
  </si>
  <si>
    <t>Suministro e Instalac. Sika flix Techo 3 para impermeabilizacion, aplicación según detalle en planos</t>
  </si>
  <si>
    <t>Relleno compactado con maquinaria controlada en capas de 20 cm</t>
  </si>
  <si>
    <t>Columnas de salida de teatina</t>
  </si>
  <si>
    <t>Muro de cabeza</t>
  </si>
  <si>
    <t>Muro de Soga</t>
  </si>
  <si>
    <t>MURETE o BUZON</t>
  </si>
  <si>
    <t>3.10.02</t>
  </si>
  <si>
    <t xml:space="preserve">Muro de cabeza lad. KK 18h - caravista </t>
  </si>
  <si>
    <t>Tarrajeo para cielo raso</t>
  </si>
  <si>
    <t>Falso Piso</t>
  </si>
  <si>
    <t>Plataforma</t>
  </si>
  <si>
    <t>3.90.06</t>
  </si>
  <si>
    <t>Suministro e instalación de luminaria de señalización de salida para adosar a techo o pared</t>
  </si>
  <si>
    <t xml:space="preserve">Salidas de pared para luces de emergencia  incluye cable, tubería, Curvas y Accesorios </t>
  </si>
  <si>
    <t>Suministro e instalacion de Luminarias Tipo Ras-M con una lampara de 28w con Balastro Electronico</t>
  </si>
  <si>
    <t>Suministro e instalacion de Luminarias Tipo AHR, Hermetico,  con una lampara de 28w con Balastro Electronico</t>
  </si>
  <si>
    <t>Suministro e instalacion de Luminaria Tipo Braquete con lamparas de 2x18w Con Balastro electronico</t>
  </si>
  <si>
    <t>Suministro e instalacion de Lampara adosada ahorradora de 2x18W</t>
  </si>
  <si>
    <t>3.50.14</t>
  </si>
  <si>
    <t>Suministro e instalación de Rejilla de cobertura en fachada de aluminio</t>
  </si>
  <si>
    <t>Tuberia PVC SAP clase 10 SP p/agua fria 3/4"</t>
  </si>
  <si>
    <t>Tuberia PVC SAP 1"</t>
  </si>
  <si>
    <t>4.20.05</t>
  </si>
  <si>
    <t>4.20.06</t>
  </si>
  <si>
    <t>Caja de registro de 12"x24"</t>
  </si>
  <si>
    <t>Salida de ventilación 2"</t>
  </si>
  <si>
    <t>4.30.04</t>
  </si>
  <si>
    <t>4.30.05</t>
  </si>
  <si>
    <t>4.30.06</t>
  </si>
  <si>
    <t xml:space="preserve">Sombrero PVC 2" </t>
  </si>
  <si>
    <t>3.80.05</t>
  </si>
  <si>
    <t>3.80.06</t>
  </si>
  <si>
    <t>Barandas de Seguridad para discapacitados</t>
  </si>
  <si>
    <t>3.80.07</t>
  </si>
  <si>
    <t>Suministro e instalación de separador de urinario de melamine para SSHH  60x1.2</t>
  </si>
  <si>
    <t xml:space="preserve">Suministro e instalación de division de melamine para SSHH (Paño fijo y puerta batiente ) </t>
  </si>
  <si>
    <t>jgo</t>
  </si>
  <si>
    <t>CANALIZACIONES</t>
  </si>
  <si>
    <t>4.30.07</t>
  </si>
  <si>
    <t>Cajas para valvulas de pase</t>
  </si>
  <si>
    <t>Accesorios varios de 2" (sumidero, registros, etc.)</t>
  </si>
  <si>
    <t>Accesorios varios de 1/2" (Valvulas, etc.)</t>
  </si>
  <si>
    <t>Accesorios varios de 4"(Registros, etc.)</t>
  </si>
  <si>
    <t xml:space="preserve">Para  salida de fuerza </t>
  </si>
  <si>
    <t>Canalizacion AA</t>
  </si>
  <si>
    <t>Salida de Desagüe PVC-SAL-2". (marca paco, nicoll o similar)</t>
  </si>
  <si>
    <t>4.20.07</t>
  </si>
  <si>
    <t>CERRAMIENTO PROVISIONAL DE TRIPLAY, DRYWALL (H=4.50m)</t>
  </si>
  <si>
    <t>Relleno compactado con material propio</t>
  </si>
  <si>
    <t>Relleno compactado con material de prestamo</t>
  </si>
  <si>
    <t>Eliminacion de Desmonte</t>
  </si>
  <si>
    <t>Concreto de solado C:H-1:12, e=2"</t>
  </si>
  <si>
    <t>Concreto ciclópeo p/Cimientos Corridos 1:10 + 30% PG</t>
  </si>
  <si>
    <t>Acero 4200 kg/cm2 Grado 60</t>
  </si>
  <si>
    <t xml:space="preserve">SOBRECIMIENTO </t>
  </si>
  <si>
    <t>Concreto Ciclopio para cimentacion 1:8 + 25% P.M</t>
  </si>
  <si>
    <t xml:space="preserve">Muro de canto  lad. KK 18h - caravista </t>
  </si>
  <si>
    <t>Grass para estacionamiento</t>
  </si>
  <si>
    <t>Suministro e Instalacion de Botallantas</t>
  </si>
  <si>
    <t>Und.</t>
  </si>
  <si>
    <t>Suministro e Instalacion de cantoneras para escalera</t>
  </si>
  <si>
    <t>M</t>
  </si>
  <si>
    <t>Suministro e instalacion de ladrillo pastelero</t>
  </si>
  <si>
    <t>Suministro y aplicación de impermeabilizante para Muro impermur</t>
  </si>
  <si>
    <t>Acabado media caña para drenaje  bajo piso tecnico</t>
  </si>
  <si>
    <t>m</t>
  </si>
  <si>
    <t xml:space="preserve">Suministro e instalación de luces de emergencia Luz de Emergencia 2 x 15W. </t>
  </si>
  <si>
    <t xml:space="preserve">Suministro e instalación de botiquín </t>
  </si>
  <si>
    <t xml:space="preserve">Suministro e instalacion de Bomba Presurizadora   1 HP </t>
  </si>
  <si>
    <t>Suministro e Instalacion de sitema de Tanque Elevado 750 LT</t>
  </si>
  <si>
    <t>SISTEMA DE DRENAJE DEBAJO DE PISO TECNICA</t>
  </si>
  <si>
    <t>Construccion de Pozo de Percolacion para drenaje de aguas bajo el piso tecnico</t>
  </si>
  <si>
    <t>Suministro e Instalación de Tubería 75mm∅PVC-P para canalización</t>
  </si>
  <si>
    <t>EXTERIOR</t>
  </si>
  <si>
    <t>Vreda y Señalizacion</t>
  </si>
  <si>
    <t>3.80.08</t>
  </si>
  <si>
    <t>3.80.09</t>
  </si>
  <si>
    <t xml:space="preserve">Suministro e instalación de Baldosas </t>
  </si>
  <si>
    <t>Servicios Higiénicos Provisionales DISAL o similar</t>
  </si>
  <si>
    <t>Concreto ciclópeo p/Cimientos Corridos 1:8 + 25% PG</t>
  </si>
  <si>
    <t>Suministro e instalación de Ventana, Marco de Aluminio + vidrio</t>
  </si>
  <si>
    <t>4.50.01</t>
  </si>
  <si>
    <t>GASTOS GENERALES Y UTILIDAD (%)</t>
  </si>
  <si>
    <t>El monto no esta considerado el IGV</t>
  </si>
  <si>
    <t>No se ha considerado el IGV</t>
  </si>
  <si>
    <t>Nota:</t>
  </si>
  <si>
    <t>Se ha incrementado el presupuesto en los gastos generales por los seguros solicitados por udes como:</t>
  </si>
  <si>
    <t>Póliza Responsabilidad Civil.</t>
  </si>
  <si>
    <t>Poliza de Construcción CAR de acuerdo al valñor del contrato.</t>
  </si>
  <si>
    <t>GG Y UTILIDAD (22.5%)</t>
  </si>
  <si>
    <t xml:space="preserve">Prevencionista </t>
  </si>
  <si>
    <t>8.10.01</t>
  </si>
  <si>
    <t>8.10.02</t>
  </si>
  <si>
    <t xml:space="preserve">Ingeniero Residente </t>
  </si>
  <si>
    <t>20.07.2017</t>
  </si>
  <si>
    <t>PRESUPUESTO DE OBRA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</si>
</sst>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4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0.000"/>
    <numFmt numFmtId="168" formatCode="_(* #,##0.00_);_(* \(#,##0.00\);_(* &quot;-&quot;??_);_(@_)"/>
    <numFmt numFmtId="169" formatCode="&quot;000-&quot;0000\-000"/>
    <numFmt numFmtId="170" formatCode="0000"/>
    <numFmt numFmtId="171" formatCode="000000"/>
    <numFmt numFmtId="172" formatCode="&quot;600-&quot;0000\-000"/>
    <numFmt numFmtId="173" formatCode="&quot;700-&quot;0000\-000"/>
    <numFmt numFmtId="174" formatCode="#,"/>
    <numFmt numFmtId="175" formatCode="0_)"/>
    <numFmt numFmtId="176" formatCode="#,##0.0_);\(#,##0.0\)"/>
    <numFmt numFmtId="177" formatCode="&quot;$&quot;#,##0;\-&quot;$&quot;#,##0"/>
    <numFmt numFmtId="178" formatCode="_-&quot;$&quot;* #,##0.00_-;\-&quot;$&quot;* #,##0.00_-;_-&quot;$&quot;* &quot;-&quot;??_-;_-@_-"/>
    <numFmt numFmtId="179" formatCode="_(&quot;$&quot;* #,##0.00_);_(&quot;$&quot;* \(#,##0.00\);_(&quot;$&quot;* &quot;-&quot;??_);_(@_)"/>
    <numFmt numFmtId="180" formatCode="&quot;$&quot;#,##0.00;\-&quot;$&quot;#,##0.00"/>
    <numFmt numFmtId="181" formatCode="_-* #,##0.00\ _€_-;\-* #,##0.00\ _€_-;_-* &quot;-&quot;??\ _€_-;_-@_-"/>
    <numFmt numFmtId="182" formatCode="#,##0;;"/>
    <numFmt numFmtId="183" formatCode="\$#.00"/>
    <numFmt numFmtId="184" formatCode="_-&quot;$&quot;* #,##0_-;\-&quot;$&quot;* #,##0_-;_-&quot;$&quot;* &quot;-&quot;_-;_-@_-"/>
    <numFmt numFmtId="185" formatCode="&quot;$&quot;#,##0\ ;\(&quot;$&quot;#,##0\)"/>
    <numFmt numFmtId="186" formatCode="#,##0_);\(#,##0\);;"/>
    <numFmt numFmtId="187" formatCode="_-[$€-2]* #,##0.00_-;\-[$€-2]* #,##0.00_-;_-[$€-2]* &quot;-&quot;??_-"/>
    <numFmt numFmtId="188" formatCode="_([$€-2]\ * #,##0.00_);_([$€-2]\ * \(#,##0.00\);_([$€-2]\ * &quot;-&quot;??_)"/>
    <numFmt numFmtId="189" formatCode="_([$€]* #,##0.00_);_([$€]* \(#,##0.00\);_([$€]* &quot;-&quot;??_);_(@_)"/>
    <numFmt numFmtId="190" formatCode="_(&quot;B&quot;* #,##0_);_(&quot;B&quot;* \(#,##0\);_(&quot;B&quot;* &quot;-&quot;_);_(@_)"/>
    <numFmt numFmtId="191" formatCode="#,#00"/>
    <numFmt numFmtId="192" formatCode="#.##000"/>
    <numFmt numFmtId="193" formatCode="0.0%"/>
    <numFmt numFmtId="194" formatCode="#,##0.0"/>
    <numFmt numFmtId="195" formatCode="&quot;$&quot;#,##0.00_);[Red]\(&quot;$&quot;#,##0.00\)"/>
    <numFmt numFmtId="196" formatCode="_-* #,##0\ _F_B_-;\-* #,##0\ _F_B_-;_-* &quot;-&quot;\ _F_B_-;_-@_-"/>
    <numFmt numFmtId="197" formatCode="_-* #,##0.00\ _F_B_-;\-* #,##0.00\ _F_B_-;_-* &quot;-&quot;??\ _F_B_-;_-@_-"/>
    <numFmt numFmtId="198" formatCode="#,###"/>
    <numFmt numFmtId="199" formatCode="#.#,;[Red]\(#.#,\)"/>
    <numFmt numFmtId="200" formatCode="0.00;[Red]0.00"/>
    <numFmt numFmtId="201" formatCode="_-* #,##0\ _F_-;\-* #,##0\ _F_-;_-* &quot;-&quot;\ _F_-;_-@_-"/>
    <numFmt numFmtId="202" formatCode="_-* #,##0.00\ _F_-;\-* #,##0.00\ _F_-;_-* &quot;-&quot;??\ _F_-;_-@_-"/>
    <numFmt numFmtId="203" formatCode="_(&quot;$&quot;* #,##0_);_(&quot;$&quot;* \(#,##0\);_(&quot;$&quot;* &quot;-&quot;_);_(@_)"/>
    <numFmt numFmtId="204" formatCode="[$-F800]dddd\,\ mmmm\ dd\,\ yyyy"/>
    <numFmt numFmtId="205" formatCode="_-&quot;$&quot;\ * #,##0.00_-;\-&quot;$&quot;\ * #,##0.00_-;_-&quot;$&quot;\ * &quot;-&quot;??_-;_-@_-"/>
    <numFmt numFmtId="206" formatCode="_(&quot;S/.&quot;\ * #,##0.00_);_(&quot;S/.&quot;\ * \(#,##0.00\);_(&quot;S/.&quot;\ * &quot;-&quot;??_);_(@_)"/>
    <numFmt numFmtId="207" formatCode="_ &quot;S.&quot;\ * #,##0.00_ ;_ &quot;S.&quot;\ * \-#,##0.00_ ;_ &quot;S.&quot;\ * &quot;-&quot;??_ ;_ @_ "/>
    <numFmt numFmtId="208" formatCode="_-* #,##0.00&quot; €&quot;_-;\-* #,##0.00&quot; €&quot;_-;_-* \-??&quot; €&quot;_-;_-@_-"/>
    <numFmt numFmtId="209" formatCode="_-* #,##0\ &quot;F&quot;_-;\-* #,##0\ &quot;F&quot;_-;_-* &quot;-&quot;\ &quot;F&quot;_-;_-@_-"/>
    <numFmt numFmtId="210" formatCode="_-* #,##0.00\ &quot;F&quot;_-;\-* #,##0.00\ &quot;F&quot;_-;_-* &quot;-&quot;??\ &quot;F&quot;_-;_-@_-"/>
    <numFmt numFmtId="211" formatCode="\$#,#00"/>
    <numFmt numFmtId="212" formatCode="0.00_)"/>
    <numFmt numFmtId="213" formatCode="0.0"/>
    <numFmt numFmtId="214" formatCode="###\-####\-##__"/>
    <numFmt numFmtId="215" formatCode="dd\-mmm\-yy_)"/>
    <numFmt numFmtId="216" formatCode="%#,#00"/>
    <numFmt numFmtId="217" formatCode="0.0;&quot;DFLT&quot;;;&quot;err&quot;"/>
    <numFmt numFmtId="218" formatCode="#,###.00__"/>
    <numFmt numFmtId="219" formatCode="&quot;$&quot;#,##0_);\(&quot;$&quot;#,##0\)"/>
    <numFmt numFmtId="220" formatCode="#.##0,"/>
    <numFmt numFmtId="221" formatCode="mm/dd/yy"/>
    <numFmt numFmtId="222" formatCode="\(#,##0\);;"/>
    <numFmt numFmtId="223" formatCode="_-* #,##0\ _k_r_-;\-* #,##0\ _k_r_-;_-* &quot;-&quot;\ _k_r_-;_-@_-"/>
    <numFmt numFmtId="224" formatCode="_-* #,##0.00\ _k_r_-;\-* #,##0.00\ _k_r_-;_-* &quot;-&quot;??\ _k_r_-;_-@_-"/>
    <numFmt numFmtId="225" formatCode="_(* #,##0_);_(* \(#,##0\);_(* &quot;-&quot;??_);_(@_)"/>
    <numFmt numFmtId="226" formatCode="&quot;$&quot;#,##0.00;[Red]\-&quot;$&quot;#,##0.00"/>
    <numFmt numFmtId="227" formatCode="&quot;$&quot;#,##0_);[Red]\(&quot;$&quot;#,##0\)"/>
    <numFmt numFmtId="228" formatCode="_-* #,##0\ &quot;FB&quot;_-;\-* #,##0\ &quot;FB&quot;_-;_-* &quot;-&quot;\ &quot;FB&quot;_-;_-@_-"/>
    <numFmt numFmtId="229" formatCode="_-&quot;£&quot;* #,##0.00_-;\-&quot;£&quot;* #,##0.00_-;_-&quot;£&quot;* &quot;-&quot;??_-;_-@_-"/>
    <numFmt numFmtId="230" formatCode="#,###,##0"/>
    <numFmt numFmtId="231" formatCode="#,###,###,##0"/>
    <numFmt numFmtId="232" formatCode="#,##0.000000"/>
    <numFmt numFmtId="233" formatCode="&quot;DM&quot;#,##0;[Red]\-&quot;DM&quot;#,##0"/>
    <numFmt numFmtId="234" formatCode="&quot;DM&quot;#,##0.00;[Red]\-&quot;DM&quot;#,##0.00"/>
    <numFmt numFmtId="235" formatCode="&quot;S/.&quot;\ #,##0.00"/>
  </numFmts>
  <fonts count="145"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9"/>
      <color indexed="10"/>
      <name val="Geneva"/>
    </font>
    <font>
      <sz val="9"/>
      <color indexed="10"/>
      <name val="Geneva"/>
      <family val="2"/>
    </font>
    <font>
      <sz val="10"/>
      <name val="Geneva"/>
      <family val="2"/>
    </font>
    <font>
      <sz val="10"/>
      <color indexed="8"/>
      <name val="MS Sans Serif"/>
      <family val="2"/>
    </font>
    <font>
      <sz val="10"/>
      <name val="Helv"/>
      <charset val="204"/>
    </font>
    <font>
      <sz val="10"/>
      <name val="Helv"/>
      <family val="2"/>
    </font>
    <font>
      <sz val="10"/>
      <name val="Helv"/>
    </font>
    <font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8"/>
      <name val="Helv"/>
    </font>
    <font>
      <sz val="10"/>
      <name val="Trebuchet MS"/>
      <family val="2"/>
    </font>
    <font>
      <sz val="8"/>
      <name val="Antique Olive"/>
      <family val="2"/>
    </font>
    <font>
      <sz val="8"/>
      <name val="Geneva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Courier"/>
      <family val="3"/>
    </font>
    <font>
      <sz val="11"/>
      <name val="µ¸¿ò"/>
      <family val="3"/>
    </font>
    <font>
      <sz val="8"/>
      <name val="Times New Roman"/>
      <family val="1"/>
    </font>
    <font>
      <b/>
      <i/>
      <u/>
      <sz val="10"/>
      <color indexed="8"/>
      <name val="Arial"/>
      <family val="2"/>
    </font>
    <font>
      <sz val="11"/>
      <color indexed="20"/>
      <name val="Calibri"/>
      <family val="2"/>
    </font>
    <font>
      <b/>
      <sz val="12"/>
      <color indexed="12"/>
      <name val="Times New Roman"/>
      <family val="1"/>
      <charset val="177"/>
    </font>
    <font>
      <sz val="12"/>
      <name val="Tms Rmn"/>
    </font>
    <font>
      <b/>
      <sz val="12"/>
      <name val="Helv"/>
    </font>
    <font>
      <sz val="12"/>
      <name val="¹ÙÅÁÃ¼"/>
      <family val="1"/>
    </font>
    <font>
      <b/>
      <sz val="1"/>
      <color indexed="16"/>
      <name val="Courier"/>
      <family val="3"/>
    </font>
    <font>
      <sz val="1"/>
      <color indexed="16"/>
      <name val="Courier"/>
      <family val="3"/>
    </font>
    <font>
      <b/>
      <sz val="11"/>
      <color indexed="52"/>
      <name val="Calibri"/>
      <family val="2"/>
    </font>
    <font>
      <b/>
      <sz val="10"/>
      <name val="Helv"/>
    </font>
    <font>
      <sz val="10"/>
      <color indexed="12"/>
      <name val="Arial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10"/>
      <name val="BERNHARD"/>
    </font>
    <font>
      <b/>
      <sz val="14"/>
      <color indexed="56"/>
      <name val="Palatino"/>
      <family val="1"/>
    </font>
    <font>
      <sz val="10"/>
      <name val="MS Serif"/>
      <family val="1"/>
    </font>
    <font>
      <b/>
      <sz val="8"/>
      <name val="Helv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sz val="10"/>
      <color indexed="16"/>
      <name val="MS Serif"/>
      <family val="1"/>
    </font>
    <font>
      <b/>
      <sz val="10"/>
      <color indexed="14"/>
      <name val="Helv"/>
    </font>
    <font>
      <sz val="10"/>
      <name val="CG Omega"/>
    </font>
    <font>
      <i/>
      <sz val="11"/>
      <color indexed="23"/>
      <name val="Calibri"/>
      <family val="2"/>
    </font>
    <font>
      <b/>
      <u/>
      <sz val="1"/>
      <color indexed="8"/>
      <name val="Courier"/>
      <family val="3"/>
    </font>
    <font>
      <i/>
      <sz val="1"/>
      <color indexed="16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color indexed="17"/>
      <name val="Calibri"/>
      <family val="2"/>
    </font>
    <font>
      <sz val="8"/>
      <color indexed="17"/>
      <name val="Helv"/>
      <family val="2"/>
    </font>
    <font>
      <sz val="12"/>
      <name val="Tahoma"/>
      <family val="2"/>
    </font>
    <font>
      <b/>
      <sz val="10"/>
      <color indexed="10"/>
      <name val="Arial"/>
      <family val="2"/>
    </font>
    <font>
      <sz val="8"/>
      <color indexed="8"/>
      <name val="MS Sans Serif"/>
      <family val="2"/>
    </font>
    <font>
      <b/>
      <sz val="12"/>
      <name val="Helv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8"/>
      <color indexed="12"/>
      <name val="Helv"/>
    </font>
    <font>
      <b/>
      <sz val="10"/>
      <color indexed="11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MS Sans Serif"/>
      <family val="2"/>
    </font>
    <font>
      <b/>
      <sz val="8"/>
      <color indexed="14"/>
      <name val="Helv"/>
    </font>
    <font>
      <sz val="12"/>
      <color indexed="10"/>
      <name val="Times New Roman"/>
      <family val="1"/>
    </font>
    <font>
      <sz val="9"/>
      <color indexed="39"/>
      <name val="Arial"/>
      <family val="2"/>
    </font>
    <font>
      <sz val="9"/>
      <color indexed="12"/>
      <name val="Arial"/>
      <family val="2"/>
    </font>
    <font>
      <sz val="10"/>
      <name val="N Helvetica Narrow"/>
    </font>
    <font>
      <sz val="12"/>
      <name val="Helv"/>
    </font>
    <font>
      <sz val="11"/>
      <color indexed="12"/>
      <name val="Book Antiqua"/>
      <family val="1"/>
    </font>
    <font>
      <b/>
      <i/>
      <sz val="10"/>
      <color indexed="8"/>
      <name val="Arial"/>
      <family val="2"/>
    </font>
    <font>
      <sz val="11"/>
      <name val="Rotis Sans Serif for Nokia"/>
    </font>
    <font>
      <sz val="11"/>
      <color indexed="52"/>
      <name val="Calibri"/>
      <family val="2"/>
    </font>
    <font>
      <sz val="12"/>
      <color indexed="9"/>
      <name val="Helv"/>
    </font>
    <font>
      <sz val="10"/>
      <color indexed="11"/>
      <name val="Helv"/>
    </font>
    <font>
      <sz val="10"/>
      <name val="MS Sans Serif"/>
      <family val="2"/>
    </font>
    <font>
      <b/>
      <sz val="11"/>
      <name val="Helv"/>
    </font>
    <font>
      <sz val="8"/>
      <color indexed="10"/>
      <name val="Arial Narrow"/>
      <family val="2"/>
    </font>
    <font>
      <sz val="7"/>
      <name val="Small Fonts"/>
      <family val="2"/>
    </font>
    <font>
      <b/>
      <i/>
      <sz val="16"/>
      <name val="Helv"/>
    </font>
    <font>
      <b/>
      <i/>
      <sz val="16"/>
      <name val="Helv"/>
      <family val="2"/>
    </font>
    <font>
      <b/>
      <sz val="9"/>
      <name val="Helvetica"/>
      <family val="2"/>
    </font>
    <font>
      <i/>
      <sz val="9"/>
      <name val="Arial"/>
      <family val="2"/>
    </font>
    <font>
      <i/>
      <sz val="9"/>
      <color indexed="12"/>
      <name val="Helv"/>
    </font>
    <font>
      <sz val="11"/>
      <name val="‚l‚r –¾’©"/>
      <charset val="128"/>
    </font>
    <font>
      <sz val="12"/>
      <color indexed="12"/>
      <name val="Times New Roman"/>
      <family val="1"/>
      <charset val="177"/>
    </font>
    <font>
      <sz val="10"/>
      <name val="Century Gothic"/>
      <family val="2"/>
    </font>
    <font>
      <sz val="10"/>
      <color indexed="14"/>
      <name val="Geneva"/>
      <family val="2"/>
    </font>
    <font>
      <sz val="9"/>
      <name val="Geneva"/>
      <family val="2"/>
    </font>
    <font>
      <b/>
      <sz val="11"/>
      <color indexed="8"/>
      <name val="Arial"/>
      <family val="2"/>
    </font>
    <font>
      <b/>
      <u/>
      <sz val="10"/>
      <name val="Arial"/>
      <family val="2"/>
    </font>
    <font>
      <b/>
      <sz val="10"/>
      <name val="MS Sans Serif"/>
      <family val="2"/>
    </font>
    <font>
      <b/>
      <sz val="12"/>
      <color indexed="10"/>
      <name val="Times New Roman"/>
      <family val="1"/>
      <charset val="177"/>
    </font>
    <font>
      <b/>
      <sz val="11"/>
      <color indexed="12"/>
      <name val="Times New Roman"/>
      <family val="1"/>
      <charset val="177"/>
    </font>
    <font>
      <sz val="10"/>
      <color indexed="12"/>
      <name val="Geneva"/>
    </font>
    <font>
      <sz val="7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2"/>
      <color indexed="56"/>
      <name val="Arial"/>
      <family val="2"/>
    </font>
    <font>
      <sz val="7"/>
      <name val="Geneva"/>
      <family val="2"/>
    </font>
    <font>
      <sz val="10"/>
      <name val="Times New Roman"/>
      <family val="1"/>
    </font>
    <font>
      <b/>
      <sz val="14"/>
      <name val="Palatino"/>
      <family val="1"/>
    </font>
    <font>
      <sz val="12"/>
      <name val="Univers (WN)"/>
    </font>
    <font>
      <b/>
      <u/>
      <sz val="11"/>
      <name val="Helvetica"/>
      <family val="2"/>
    </font>
    <font>
      <b/>
      <sz val="12"/>
      <name val="Helvetica"/>
      <family val="2"/>
    </font>
    <font>
      <sz val="9"/>
      <color indexed="8"/>
      <name val="Arial"/>
      <family val="2"/>
    </font>
    <font>
      <b/>
      <sz val="8"/>
      <color indexed="8"/>
      <name val="Helv"/>
    </font>
    <font>
      <b/>
      <sz val="10"/>
      <color indexed="10"/>
      <name val="Helv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u/>
      <sz val="8"/>
      <name val="Arial"/>
      <family val="2"/>
    </font>
    <font>
      <b/>
      <sz val="14"/>
      <name val="Arial"/>
      <family val="2"/>
    </font>
    <font>
      <sz val="11"/>
      <color indexed="10"/>
      <name val="Calibri"/>
      <family val="2"/>
    </font>
    <font>
      <sz val="12"/>
      <name val="Helv"/>
      <family val="2"/>
    </font>
    <font>
      <sz val="10"/>
      <name val="Helvetica"/>
      <family val="2"/>
    </font>
    <font>
      <sz val="12"/>
      <name val="宋体"/>
      <charset val="134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darkGray">
        <fgColor indexed="9"/>
        <bgColor indexed="3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1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144">
    <xf numFmtId="0" fontId="0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5" fillId="0" borderId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0"/>
    <xf numFmtId="0" fontId="12" fillId="0" borderId="0" applyNumberForma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4" fillId="0" borderId="0"/>
    <xf numFmtId="168" fontId="5" fillId="0" borderId="0" applyFont="0" applyFill="0" applyBorder="0" applyAlignment="0" applyProtection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5" fillId="0" borderId="0" applyFill="0" applyBorder="0"/>
    <xf numFmtId="0" fontId="9" fillId="0" borderId="0"/>
    <xf numFmtId="0" fontId="10" fillId="0" borderId="0"/>
    <xf numFmtId="0" fontId="10" fillId="0" borderId="0"/>
    <xf numFmtId="0" fontId="5" fillId="0" borderId="0"/>
    <xf numFmtId="0" fontId="13" fillId="0" borderId="0"/>
    <xf numFmtId="0" fontId="13" fillId="0" borderId="0"/>
    <xf numFmtId="0" fontId="1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5" fillId="0" borderId="0"/>
    <xf numFmtId="168" fontId="5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4" fillId="0" borderId="0"/>
    <xf numFmtId="168" fontId="5" fillId="0" borderId="0" applyFont="0" applyFill="0" applyBorder="0" applyAlignment="0" applyProtection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1" fillId="0" borderId="0"/>
    <xf numFmtId="0" fontId="11" fillId="0" borderId="0"/>
    <xf numFmtId="0" fontId="13" fillId="0" borderId="0"/>
    <xf numFmtId="0" fontId="5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 applyFill="0" applyBorder="0"/>
    <xf numFmtId="0" fontId="1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4" fillId="0" borderId="0"/>
    <xf numFmtId="0" fontId="13" fillId="0" borderId="0"/>
    <xf numFmtId="0" fontId="14" fillId="0" borderId="0"/>
    <xf numFmtId="0" fontId="9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0" fillId="0" borderId="0"/>
    <xf numFmtId="0" fontId="10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6" fillId="0" borderId="0"/>
    <xf numFmtId="0" fontId="5" fillId="0" borderId="0"/>
    <xf numFmtId="0" fontId="1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5" fillId="0" borderId="0"/>
    <xf numFmtId="0" fontId="14" fillId="0" borderId="0"/>
    <xf numFmtId="0" fontId="15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8" fillId="0" borderId="0"/>
    <xf numFmtId="9" fontId="5" fillId="9" borderId="0"/>
    <xf numFmtId="0" fontId="5" fillId="0" borderId="0"/>
    <xf numFmtId="0" fontId="5" fillId="0" borderId="0"/>
    <xf numFmtId="0" fontId="16" fillId="0" borderId="0"/>
    <xf numFmtId="169" fontId="19" fillId="0" borderId="0">
      <alignment horizontal="center"/>
    </xf>
    <xf numFmtId="0" fontId="20" fillId="0" borderId="0" applyFont="0" applyFill="0" applyBorder="0" applyAlignment="0" applyProtection="0"/>
    <xf numFmtId="170" fontId="21" fillId="0" borderId="0">
      <alignment horizontal="left"/>
    </xf>
    <xf numFmtId="171" fontId="22" fillId="0" borderId="0">
      <alignment horizontal="left"/>
    </xf>
    <xf numFmtId="0" fontId="23" fillId="0" borderId="0"/>
    <xf numFmtId="0" fontId="24" fillId="0" borderId="0">
      <alignment horizontal="left" vertical="center"/>
    </xf>
    <xf numFmtId="0" fontId="25" fillId="0" borderId="0">
      <alignment horizontal="left" vertical="top"/>
    </xf>
    <xf numFmtId="0" fontId="26" fillId="0" borderId="0">
      <alignment horizontal="left" vertical="center"/>
      <protection locked="0"/>
    </xf>
    <xf numFmtId="2" fontId="27" fillId="0" borderId="0">
      <alignment horizontal="left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15" fillId="0" borderId="0"/>
    <xf numFmtId="0" fontId="29" fillId="20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172" fontId="19" fillId="0" borderId="0">
      <alignment horizontal="center"/>
    </xf>
    <xf numFmtId="173" fontId="19" fillId="0" borderId="0">
      <alignment horizontal="center"/>
    </xf>
    <xf numFmtId="0" fontId="30" fillId="0" borderId="1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7" borderId="0" applyNumberFormat="0" applyBorder="0" applyAlignment="0" applyProtection="0"/>
    <xf numFmtId="0" fontId="5" fillId="28" borderId="11">
      <alignment horizontal="center"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" fillId="0" borderId="0">
      <alignment horizontal="right"/>
    </xf>
    <xf numFmtId="0" fontId="32" fillId="0" borderId="0">
      <alignment horizontal="center" wrapText="1"/>
      <protection locked="0"/>
    </xf>
    <xf numFmtId="0" fontId="33" fillId="29" borderId="0" applyNumberFormat="0" applyFill="0" applyBorder="0" applyAlignment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5" fillId="30" borderId="0"/>
    <xf numFmtId="0" fontId="34" fillId="11" borderId="0" applyNumberFormat="0" applyBorder="0" applyAlignment="0" applyProtection="0"/>
    <xf numFmtId="0" fontId="22" fillId="0" borderId="0" applyFont="0" applyFill="0" applyBorder="0" applyAlignment="0" applyProtection="0">
      <alignment horizontal="right"/>
    </xf>
    <xf numFmtId="2" fontId="35" fillId="0" borderId="0"/>
    <xf numFmtId="0" fontId="23" fillId="0" borderId="0" applyFill="0" applyBorder="0">
      <alignment horizontal="left" wrapText="1"/>
    </xf>
    <xf numFmtId="0" fontId="36" fillId="0" borderId="0" applyNumberFormat="0" applyFill="0" applyBorder="0" applyAlignment="0" applyProtection="0"/>
    <xf numFmtId="0" fontId="37" fillId="0" borderId="0"/>
    <xf numFmtId="0" fontId="38" fillId="0" borderId="0"/>
    <xf numFmtId="174" fontId="39" fillId="0" borderId="0">
      <protection locked="0"/>
    </xf>
    <xf numFmtId="174" fontId="40" fillId="0" borderId="12">
      <protection locked="0"/>
    </xf>
    <xf numFmtId="175" fontId="5" fillId="0" borderId="0" applyFill="0" applyBorder="0" applyAlignment="0"/>
    <xf numFmtId="175" fontId="5" fillId="0" borderId="0" applyFill="0" applyBorder="0" applyAlignment="0"/>
    <xf numFmtId="176" fontId="14" fillId="0" borderId="0" applyFill="0" applyBorder="0" applyAlignment="0"/>
    <xf numFmtId="177" fontId="5" fillId="0" borderId="0" applyFill="0" applyBorder="0" applyAlignment="0"/>
    <xf numFmtId="41" fontId="5" fillId="0" borderId="0" applyFill="0" applyBorder="0" applyAlignment="0"/>
    <xf numFmtId="178" fontId="5" fillId="0" borderId="0" applyFill="0" applyBorder="0" applyAlignment="0"/>
    <xf numFmtId="179" fontId="14" fillId="0" borderId="0" applyFill="0" applyBorder="0" applyAlignment="0"/>
    <xf numFmtId="180" fontId="5" fillId="0" borderId="0" applyFill="0" applyBorder="0" applyAlignment="0"/>
    <xf numFmtId="176" fontId="14" fillId="0" borderId="0" applyFill="0" applyBorder="0" applyAlignment="0"/>
    <xf numFmtId="0" fontId="41" fillId="31" borderId="13" applyNumberFormat="0" applyAlignment="0" applyProtection="0"/>
    <xf numFmtId="0" fontId="9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42" fillId="0" borderId="0"/>
    <xf numFmtId="3" fontId="43" fillId="32" borderId="14" applyNumberFormat="0" applyFill="0" applyBorder="0" applyAlignment="0">
      <protection locked="0"/>
    </xf>
    <xf numFmtId="0" fontId="44" fillId="33" borderId="15" applyNumberFormat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9" fontId="14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47" fillId="0" borderId="0"/>
    <xf numFmtId="0" fontId="15" fillId="0" borderId="0"/>
    <xf numFmtId="0" fontId="47" fillId="0" borderId="0"/>
    <xf numFmtId="0" fontId="15" fillId="0" borderId="0"/>
    <xf numFmtId="176" fontId="48" fillId="0" borderId="0"/>
    <xf numFmtId="1" fontId="5" fillId="0" borderId="0"/>
    <xf numFmtId="0" fontId="49" fillId="0" borderId="0" applyNumberFormat="0" applyAlignment="0">
      <alignment horizontal="left"/>
    </xf>
    <xf numFmtId="0" fontId="30" fillId="0" borderId="0" applyNumberFormat="0" applyAlignment="0"/>
    <xf numFmtId="182" fontId="23" fillId="0" borderId="0" applyFill="0" applyBorder="0"/>
    <xf numFmtId="176" fontId="50" fillId="0" borderId="0" applyFill="0" applyBorder="0" applyAlignment="0" applyProtection="0">
      <alignment horizontal="left"/>
    </xf>
    <xf numFmtId="183" fontId="45" fillId="0" borderId="0">
      <protection locked="0"/>
    </xf>
    <xf numFmtId="176" fontId="14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3" fontId="18" fillId="34" borderId="0" applyBorder="0" applyAlignment="0"/>
    <xf numFmtId="0" fontId="5" fillId="0" borderId="0" applyFont="0" applyFill="0" applyBorder="0" applyAlignment="0" applyProtection="0"/>
    <xf numFmtId="14" fontId="18" fillId="0" borderId="0" applyFill="0" applyBorder="0" applyAlignment="0"/>
    <xf numFmtId="0" fontId="51" fillId="0" borderId="0" applyProtection="0"/>
    <xf numFmtId="49" fontId="23" fillId="35" borderId="1">
      <alignment vertical="center" wrapText="1"/>
    </xf>
    <xf numFmtId="49" fontId="23" fillId="35" borderId="1">
      <alignment vertical="center" wrapText="1"/>
    </xf>
    <xf numFmtId="0" fontId="45" fillId="0" borderId="0">
      <protection locked="0"/>
    </xf>
    <xf numFmtId="0" fontId="5" fillId="0" borderId="0"/>
    <xf numFmtId="174" fontId="52" fillId="0" borderId="0">
      <protection locked="0"/>
    </xf>
    <xf numFmtId="0" fontId="53" fillId="0" borderId="0" applyProtection="0"/>
    <xf numFmtId="174" fontId="52" fillId="0" borderId="0">
      <protection locked="0"/>
    </xf>
    <xf numFmtId="179" fontId="14" fillId="0" borderId="0" applyFill="0" applyBorder="0" applyAlignment="0"/>
    <xf numFmtId="176" fontId="14" fillId="0" borderId="0" applyFill="0" applyBorder="0" applyAlignment="0"/>
    <xf numFmtId="179" fontId="14" fillId="0" borderId="0" applyFill="0" applyBorder="0" applyAlignment="0"/>
    <xf numFmtId="180" fontId="5" fillId="0" borderId="0" applyFill="0" applyBorder="0" applyAlignment="0"/>
    <xf numFmtId="176" fontId="14" fillId="0" borderId="0" applyFill="0" applyBorder="0" applyAlignment="0"/>
    <xf numFmtId="0" fontId="54" fillId="0" borderId="0" applyNumberFormat="0" applyAlignment="0">
      <alignment horizontal="left"/>
    </xf>
    <xf numFmtId="3" fontId="55" fillId="0" borderId="0" applyNumberFormat="0" applyBorder="0" applyAlignment="0">
      <protection locked="0"/>
    </xf>
    <xf numFmtId="0" fontId="23" fillId="36" borderId="1"/>
    <xf numFmtId="0" fontId="23" fillId="36" borderId="1"/>
    <xf numFmtId="186" fontId="5" fillId="0" borderId="16" applyBorder="0"/>
    <xf numFmtId="186" fontId="5" fillId="0" borderId="16" applyBorder="0"/>
    <xf numFmtId="0" fontId="13" fillId="0" borderId="0"/>
    <xf numFmtId="0" fontId="10" fillId="0" borderId="0"/>
    <xf numFmtId="0" fontId="10" fillId="0" borderId="0"/>
    <xf numFmtId="0" fontId="1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5" fillId="0" borderId="0"/>
    <xf numFmtId="0" fontId="13" fillId="0" borderId="0"/>
    <xf numFmtId="0" fontId="25" fillId="0" borderId="0">
      <alignment horizontal="left" vertical="center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56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0">
      <protection locked="0"/>
    </xf>
    <xf numFmtId="0" fontId="40" fillId="0" borderId="0">
      <protection locked="0"/>
    </xf>
    <xf numFmtId="0" fontId="52" fillId="0" borderId="0">
      <protection locked="0"/>
    </xf>
    <xf numFmtId="0" fontId="40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52" fillId="0" borderId="0">
      <protection locked="0"/>
    </xf>
    <xf numFmtId="0" fontId="40" fillId="0" borderId="0">
      <protection locked="0"/>
    </xf>
    <xf numFmtId="0" fontId="60" fillId="0" borderId="0">
      <protection locked="0"/>
    </xf>
    <xf numFmtId="0" fontId="40" fillId="0" borderId="0">
      <protection locked="0"/>
    </xf>
    <xf numFmtId="0" fontId="45" fillId="0" borderId="0">
      <protection locked="0"/>
    </xf>
    <xf numFmtId="0" fontId="40" fillId="0" borderId="0">
      <protection locked="0"/>
    </xf>
    <xf numFmtId="0" fontId="61" fillId="0" borderId="0">
      <protection locked="0"/>
    </xf>
    <xf numFmtId="0" fontId="59" fillId="0" borderId="0">
      <protection locked="0"/>
    </xf>
    <xf numFmtId="0" fontId="5" fillId="0" borderId="0" applyFill="0" applyBorder="0">
      <alignment wrapText="1"/>
    </xf>
    <xf numFmtId="0" fontId="5" fillId="0" borderId="0" applyFill="0" applyBorder="0"/>
    <xf numFmtId="0" fontId="23" fillId="0" borderId="0" applyFill="0" applyBorder="0"/>
    <xf numFmtId="182" fontId="5" fillId="0" borderId="9" applyFill="0" applyBorder="0">
      <protection locked="0"/>
    </xf>
    <xf numFmtId="190" fontId="5" fillId="0" borderId="9" applyFill="0" applyBorder="0">
      <protection locked="0"/>
    </xf>
    <xf numFmtId="174" fontId="39" fillId="0" borderId="0">
      <protection locked="0"/>
    </xf>
    <xf numFmtId="0" fontId="51" fillId="0" borderId="0" applyProtection="0"/>
    <xf numFmtId="0" fontId="15" fillId="0" borderId="0"/>
    <xf numFmtId="191" fontId="45" fillId="0" borderId="0">
      <protection locked="0"/>
    </xf>
    <xf numFmtId="2" fontId="51" fillId="0" borderId="0" applyProtection="0"/>
    <xf numFmtId="191" fontId="45" fillId="0" borderId="0">
      <protection locked="0"/>
    </xf>
    <xf numFmtId="192" fontId="45" fillId="0" borderId="0">
      <protection locked="0"/>
    </xf>
    <xf numFmtId="192" fontId="45" fillId="0" borderId="0">
      <protection locked="0"/>
    </xf>
    <xf numFmtId="2" fontId="5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12" borderId="0" applyNumberFormat="0" applyBorder="0" applyAlignment="0" applyProtection="0"/>
    <xf numFmtId="3" fontId="64" fillId="0" borderId="0">
      <protection locked="0"/>
    </xf>
    <xf numFmtId="38" fontId="23" fillId="37" borderId="0" applyNumberFormat="0" applyBorder="0" applyAlignment="0" applyProtection="0"/>
    <xf numFmtId="0" fontId="65" fillId="0" borderId="0" applyFill="0" applyBorder="0" applyAlignment="0">
      <alignment wrapText="1"/>
    </xf>
    <xf numFmtId="0" fontId="5" fillId="37" borderId="1">
      <protection locked="0"/>
    </xf>
    <xf numFmtId="0" fontId="66" fillId="37" borderId="0">
      <protection locked="0"/>
    </xf>
    <xf numFmtId="0" fontId="67" fillId="37" borderId="1">
      <protection locked="0"/>
    </xf>
    <xf numFmtId="0" fontId="18" fillId="37" borderId="1">
      <protection locked="0"/>
    </xf>
    <xf numFmtId="0" fontId="5" fillId="37" borderId="1">
      <alignment horizontal="left"/>
      <protection locked="0"/>
    </xf>
    <xf numFmtId="0" fontId="37" fillId="0" borderId="0">
      <alignment horizontal="left"/>
    </xf>
    <xf numFmtId="0" fontId="68" fillId="38" borderId="17"/>
    <xf numFmtId="0" fontId="37" fillId="0" borderId="0">
      <alignment horizontal="left"/>
    </xf>
    <xf numFmtId="0" fontId="68" fillId="0" borderId="0">
      <alignment horizontal="left"/>
    </xf>
    <xf numFmtId="0" fontId="68" fillId="0" borderId="0">
      <alignment horizontal="left"/>
    </xf>
    <xf numFmtId="0" fontId="68" fillId="0" borderId="0">
      <alignment horizontal="left"/>
    </xf>
    <xf numFmtId="0" fontId="68" fillId="0" borderId="0">
      <alignment horizontal="left"/>
    </xf>
    <xf numFmtId="0" fontId="68" fillId="0" borderId="0">
      <alignment horizontal="left"/>
    </xf>
    <xf numFmtId="0" fontId="37" fillId="0" borderId="0">
      <alignment horizontal="left"/>
    </xf>
    <xf numFmtId="0" fontId="25" fillId="0" borderId="18" applyNumberFormat="0" applyAlignment="0" applyProtection="0">
      <alignment horizontal="left" vertical="center"/>
    </xf>
    <xf numFmtId="0" fontId="25" fillId="0" borderId="3">
      <alignment horizontal="left" vertical="center"/>
    </xf>
    <xf numFmtId="0" fontId="69" fillId="39" borderId="19">
      <alignment vertical="center" wrapText="1"/>
    </xf>
    <xf numFmtId="0" fontId="69" fillId="0" borderId="0" applyFill="0" applyBorder="0">
      <alignment horizontal="left" wrapText="1"/>
    </xf>
    <xf numFmtId="0" fontId="70" fillId="0" borderId="0" applyFill="0" applyBorder="0">
      <alignment horizontal="left" wrapText="1"/>
    </xf>
    <xf numFmtId="49" fontId="5" fillId="0" borderId="20" applyNumberFormat="0" applyProtection="0">
      <alignment horizontal="left" vertical="top"/>
    </xf>
    <xf numFmtId="49" fontId="5" fillId="0" borderId="20" applyNumberFormat="0" applyProtection="0">
      <alignment horizontal="left" vertical="top"/>
    </xf>
    <xf numFmtId="49" fontId="71" fillId="0" borderId="20" applyNumberFormat="0" applyProtection="0">
      <alignment horizontal="left" vertical="top"/>
    </xf>
    <xf numFmtId="0" fontId="69" fillId="39" borderId="19">
      <alignment vertical="center" wrapText="1"/>
    </xf>
    <xf numFmtId="0" fontId="53" fillId="0" borderId="0" applyProtection="0"/>
    <xf numFmtId="0" fontId="25" fillId="0" borderId="0" applyProtection="0"/>
    <xf numFmtId="0" fontId="72" fillId="0" borderId="0">
      <alignment horizontal="left"/>
    </xf>
    <xf numFmtId="0" fontId="18" fillId="40" borderId="0" applyNumberFormat="0" applyFont="0" applyFill="0" applyBorder="0" applyAlignment="0">
      <alignment horizontal="left"/>
      <protection hidden="1"/>
    </xf>
    <xf numFmtId="0" fontId="43" fillId="0" borderId="21" applyNumberFormat="0" applyFill="0" applyAlignment="0" applyProtection="0"/>
    <xf numFmtId="4" fontId="73" fillId="0" borderId="0" applyNumberFormat="0" applyFill="0" applyBorder="0" applyProtection="0">
      <alignment horizontal="center"/>
    </xf>
    <xf numFmtId="0" fontId="43" fillId="0" borderId="21" applyNumberFormat="0" applyFill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30" fillId="0" borderId="0"/>
    <xf numFmtId="49" fontId="23" fillId="0" borderId="0" applyFill="0" applyBorder="0"/>
    <xf numFmtId="0" fontId="76" fillId="0" borderId="0">
      <alignment horizontal="left"/>
    </xf>
    <xf numFmtId="2" fontId="77" fillId="0" borderId="0">
      <alignment horizontal="right"/>
      <protection locked="0"/>
    </xf>
    <xf numFmtId="193" fontId="78" fillId="37" borderId="0">
      <protection locked="0"/>
    </xf>
    <xf numFmtId="10" fontId="23" fillId="41" borderId="1" applyNumberFormat="0" applyBorder="0" applyAlignment="0" applyProtection="0"/>
    <xf numFmtId="10" fontId="23" fillId="41" borderId="1" applyNumberFormat="0" applyBorder="0" applyAlignment="0" applyProtection="0"/>
    <xf numFmtId="3" fontId="79" fillId="37" borderId="0">
      <alignment horizontal="right"/>
      <protection locked="0"/>
    </xf>
    <xf numFmtId="194" fontId="78" fillId="37" borderId="0" applyBorder="0">
      <alignment horizontal="right"/>
      <protection locked="0"/>
    </xf>
    <xf numFmtId="195" fontId="23" fillId="41" borderId="1" applyNumberFormat="0" applyAlignment="0">
      <protection locked="0"/>
    </xf>
    <xf numFmtId="2" fontId="77" fillId="0" borderId="0">
      <alignment horizontal="right"/>
      <protection locked="0"/>
    </xf>
    <xf numFmtId="2" fontId="77" fillId="0" borderId="0">
      <alignment horizontal="right"/>
      <protection locked="0"/>
    </xf>
    <xf numFmtId="2" fontId="77" fillId="0" borderId="0">
      <alignment horizontal="right"/>
      <protection locked="0"/>
    </xf>
    <xf numFmtId="2" fontId="77" fillId="0" borderId="0">
      <alignment horizontal="right"/>
      <protection locked="0"/>
    </xf>
    <xf numFmtId="2" fontId="77" fillId="0" borderId="0">
      <alignment horizontal="right"/>
      <protection locked="0"/>
    </xf>
    <xf numFmtId="0" fontId="80" fillId="0" borderId="10" applyNumberFormat="0" applyFont="0" applyFill="0" applyAlignment="0">
      <alignment horizontal="center"/>
    </xf>
    <xf numFmtId="176" fontId="81" fillId="42" borderId="0"/>
    <xf numFmtId="0" fontId="82" fillId="39" borderId="0"/>
    <xf numFmtId="193" fontId="23" fillId="41" borderId="22" applyNumberFormat="0" applyFont="0" applyAlignment="0" applyProtection="0">
      <alignment horizontal="center"/>
      <protection locked="0"/>
    </xf>
    <xf numFmtId="0" fontId="83" fillId="32" borderId="23" applyBorder="0"/>
    <xf numFmtId="0" fontId="11" fillId="0" borderId="0"/>
    <xf numFmtId="0" fontId="84" fillId="0" borderId="1" applyNumberFormat="0" applyAlignment="0">
      <alignment horizontal="center"/>
    </xf>
    <xf numFmtId="0" fontId="5" fillId="0" borderId="0" applyNumberFormat="0" applyFont="0" applyBorder="0" applyAlignment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0" fontId="5" fillId="0" borderId="0"/>
    <xf numFmtId="179" fontId="14" fillId="0" borderId="0" applyFill="0" applyBorder="0" applyAlignment="0"/>
    <xf numFmtId="176" fontId="14" fillId="0" borderId="0" applyFill="0" applyBorder="0" applyAlignment="0"/>
    <xf numFmtId="179" fontId="14" fillId="0" borderId="0" applyFill="0" applyBorder="0" applyAlignment="0"/>
    <xf numFmtId="180" fontId="5" fillId="0" borderId="0" applyFill="0" applyBorder="0" applyAlignment="0"/>
    <xf numFmtId="176" fontId="14" fillId="0" borderId="0" applyFill="0" applyBorder="0" applyAlignment="0"/>
    <xf numFmtId="0" fontId="85" fillId="0" borderId="24" applyNumberFormat="0" applyFill="0" applyAlignment="0" applyProtection="0"/>
    <xf numFmtId="176" fontId="86" fillId="43" borderId="0"/>
    <xf numFmtId="198" fontId="87" fillId="0" borderId="9" applyNumberFormat="0" applyFill="0" applyBorder="0" applyAlignment="0" applyProtection="0">
      <alignment horizontal="center"/>
    </xf>
    <xf numFmtId="0" fontId="72" fillId="0" borderId="0">
      <alignment horizontal="left"/>
    </xf>
    <xf numFmtId="0" fontId="15" fillId="35" borderId="0" applyNumberFormat="0" applyFont="0" applyBorder="0" applyAlignment="0" applyProtection="0"/>
    <xf numFmtId="199" fontId="5" fillId="0" borderId="0" applyFont="0" applyFill="0" applyBorder="0" applyAlignment="0" applyProtection="0"/>
    <xf numFmtId="40" fontId="88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9" fontId="5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89" fillId="0" borderId="8"/>
    <xf numFmtId="20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204" fontId="28" fillId="0" borderId="0" applyFont="0" applyFill="0" applyBorder="0" applyAlignment="0" applyProtection="0"/>
    <xf numFmtId="205" fontId="5" fillId="0" borderId="0" applyFont="0" applyFill="0" applyBorder="0" applyAlignment="0" applyProtection="0"/>
    <xf numFmtId="204" fontId="28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205" fontId="5" fillId="0" borderId="0" applyFont="0" applyFill="0" applyBorder="0" applyAlignment="0" applyProtection="0"/>
    <xf numFmtId="20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08" fontId="5" fillId="0" borderId="0" applyFill="0" applyBorder="0" applyAlignment="0" applyProtection="0"/>
    <xf numFmtId="209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1" fontId="45" fillId="0" borderId="0">
      <protection locked="0"/>
    </xf>
    <xf numFmtId="211" fontId="45" fillId="0" borderId="0">
      <protection locked="0"/>
    </xf>
    <xf numFmtId="174" fontId="40" fillId="0" borderId="25">
      <protection locked="0"/>
    </xf>
    <xf numFmtId="0" fontId="90" fillId="0" borderId="25">
      <protection locked="0" hidden="1"/>
    </xf>
    <xf numFmtId="0" fontId="90" fillId="0" borderId="25">
      <protection locked="0" hidden="1"/>
    </xf>
    <xf numFmtId="0" fontId="5" fillId="0" borderId="0" applyNumberFormat="0" applyFill="0" applyBorder="0" applyAlignment="0" applyProtection="0"/>
    <xf numFmtId="37" fontId="91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2" fontId="92" fillId="0" borderId="0"/>
    <xf numFmtId="212" fontId="9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4" fillId="0" borderId="0"/>
    <xf numFmtId="0" fontId="5" fillId="0" borderId="0" applyNumberFormat="0" applyFill="0" applyBorder="0" applyAlignment="0" applyProtection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23" fillId="0" borderId="0">
      <alignment vertical="center"/>
    </xf>
    <xf numFmtId="0" fontId="2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3" fontId="94" fillId="0" borderId="0"/>
    <xf numFmtId="3" fontId="95" fillId="0" borderId="0">
      <alignment horizontal="left"/>
    </xf>
    <xf numFmtId="0" fontId="15" fillId="0" borderId="0"/>
    <xf numFmtId="0" fontId="12" fillId="0" borderId="0"/>
    <xf numFmtId="0" fontId="28" fillId="44" borderId="26" applyNumberFormat="0" applyFont="0" applyAlignment="0" applyProtection="0"/>
    <xf numFmtId="0" fontId="96" fillId="0" borderId="0" applyNumberFormat="0" applyAlignment="0">
      <alignment vertical="top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213" fontId="11" fillId="0" borderId="1" applyFill="0" applyBorder="0" applyAlignment="0" applyProtection="0"/>
    <xf numFmtId="213" fontId="17" fillId="0" borderId="1" applyFill="0" applyBorder="0" applyAlignment="0" applyProtection="0"/>
    <xf numFmtId="2" fontId="98" fillId="0" borderId="0"/>
    <xf numFmtId="214" fontId="5" fillId="0" borderId="0">
      <alignment horizontal="right"/>
    </xf>
    <xf numFmtId="0" fontId="5" fillId="37" borderId="1">
      <protection locked="0"/>
    </xf>
    <xf numFmtId="14" fontId="32" fillId="0" borderId="0">
      <alignment horizontal="center" wrapText="1"/>
      <protection locked="0"/>
    </xf>
    <xf numFmtId="19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215" fontId="99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216" fontId="45" fillId="0" borderId="0">
      <protection locked="0"/>
    </xf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217" fontId="5" fillId="0" borderId="16" applyBorder="0"/>
    <xf numFmtId="217" fontId="5" fillId="0" borderId="16" applyBorder="0"/>
    <xf numFmtId="9" fontId="100" fillId="0" borderId="5">
      <alignment horizontal="center"/>
    </xf>
    <xf numFmtId="218" fontId="101" fillId="0" borderId="0">
      <alignment horizontal="right"/>
    </xf>
    <xf numFmtId="0" fontId="23" fillId="37" borderId="1"/>
    <xf numFmtId="0" fontId="23" fillId="37" borderId="1"/>
    <xf numFmtId="179" fontId="14" fillId="0" borderId="0" applyFill="0" applyBorder="0" applyAlignment="0"/>
    <xf numFmtId="176" fontId="14" fillId="0" borderId="0" applyFill="0" applyBorder="0" applyAlignment="0"/>
    <xf numFmtId="179" fontId="14" fillId="0" borderId="0" applyFill="0" applyBorder="0" applyAlignment="0"/>
    <xf numFmtId="180" fontId="5" fillId="0" borderId="0" applyFill="0" applyBorder="0" applyAlignment="0"/>
    <xf numFmtId="176" fontId="14" fillId="0" borderId="0" applyFill="0" applyBorder="0" applyAlignment="0"/>
    <xf numFmtId="0" fontId="102" fillId="35" borderId="0" applyBorder="0" applyAlignment="0">
      <alignment horizontal="left"/>
      <protection locked="0"/>
    </xf>
    <xf numFmtId="219" fontId="24" fillId="35" borderId="1">
      <alignment vertical="center"/>
    </xf>
    <xf numFmtId="219" fontId="24" fillId="35" borderId="1">
      <alignment vertical="center"/>
    </xf>
    <xf numFmtId="171" fontId="103" fillId="0" borderId="0" applyNumberFormat="0" applyFill="0" applyBorder="0" applyProtection="0">
      <alignment horizontal="left" indent="2"/>
    </xf>
    <xf numFmtId="0" fontId="18" fillId="40" borderId="0" applyNumberFormat="0" applyFill="0" applyBorder="0" applyAlignment="0"/>
    <xf numFmtId="0" fontId="88" fillId="0" borderId="0" applyNumberFormat="0" applyFont="0" applyFill="0" applyBorder="0" applyAlignment="0" applyProtection="0">
      <alignment horizontal="left"/>
    </xf>
    <xf numFmtId="15" fontId="88" fillId="0" borderId="0" applyFont="0" applyFill="0" applyBorder="0" applyAlignment="0" applyProtection="0"/>
    <xf numFmtId="4" fontId="88" fillId="0" borderId="0" applyFont="0" applyFill="0" applyBorder="0" applyAlignment="0" applyProtection="0"/>
    <xf numFmtId="0" fontId="104" fillId="0" borderId="8">
      <alignment horizontal="center"/>
    </xf>
    <xf numFmtId="3" fontId="88" fillId="0" borderId="0" applyFont="0" applyFill="0" applyBorder="0" applyAlignment="0" applyProtection="0"/>
    <xf numFmtId="0" fontId="88" fillId="45" borderId="0" applyNumberFormat="0" applyFont="0" applyBorder="0" applyAlignment="0" applyProtection="0"/>
    <xf numFmtId="174" fontId="40" fillId="0" borderId="0">
      <protection locked="0"/>
    </xf>
    <xf numFmtId="174" fontId="40" fillId="0" borderId="25">
      <protection locked="0"/>
    </xf>
    <xf numFmtId="0" fontId="15" fillId="0" borderId="0"/>
    <xf numFmtId="220" fontId="45" fillId="0" borderId="0">
      <protection locked="0"/>
    </xf>
    <xf numFmtId="0" fontId="15" fillId="0" borderId="0"/>
    <xf numFmtId="37" fontId="5" fillId="0" borderId="0"/>
    <xf numFmtId="0" fontId="105" fillId="0" borderId="0">
      <alignment horizontal="left"/>
      <protection locked="0"/>
    </xf>
    <xf numFmtId="2" fontId="106" fillId="0" borderId="0">
      <alignment horizontal="right"/>
    </xf>
    <xf numFmtId="221" fontId="19" fillId="0" borderId="0" applyNumberFormat="0" applyFill="0" applyBorder="0" applyAlignment="0" applyProtection="0">
      <alignment horizontal="left"/>
    </xf>
    <xf numFmtId="38" fontId="19" fillId="0" borderId="0"/>
    <xf numFmtId="0" fontId="107" fillId="35" borderId="26" applyNumberFormat="0" applyFont="0" applyAlignment="0" applyProtection="0">
      <alignment horizontal="left"/>
    </xf>
    <xf numFmtId="0" fontId="108" fillId="0" borderId="0" applyFill="0" applyBorder="0">
      <alignment horizontal="left"/>
    </xf>
    <xf numFmtId="222" fontId="108" fillId="0" borderId="9" applyFill="0" applyBorder="0">
      <protection locked="0"/>
    </xf>
    <xf numFmtId="4" fontId="109" fillId="39" borderId="27" applyNumberFormat="0" applyProtection="0">
      <alignment vertical="center"/>
    </xf>
    <xf numFmtId="4" fontId="110" fillId="39" borderId="27" applyNumberFormat="0" applyProtection="0">
      <alignment horizontal="left" vertical="center" indent="1"/>
    </xf>
    <xf numFmtId="4" fontId="111" fillId="46" borderId="0" applyNumberFormat="0" applyProtection="0">
      <alignment horizontal="left" vertical="center" indent="1"/>
    </xf>
    <xf numFmtId="4" fontId="110" fillId="47" borderId="27" applyNumberFormat="0" applyProtection="0">
      <alignment horizontal="right" vertical="center"/>
    </xf>
    <xf numFmtId="4" fontId="109" fillId="28" borderId="27" applyNumberFormat="0" applyProtection="0">
      <alignment horizontal="right" vertical="center"/>
    </xf>
    <xf numFmtId="176" fontId="112" fillId="0" borderId="0">
      <alignment horizontal="left"/>
    </xf>
    <xf numFmtId="223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0" fontId="113" fillId="0" borderId="0"/>
    <xf numFmtId="1" fontId="114" fillId="0" borderId="0" applyBorder="0">
      <alignment horizontal="left" vertical="top" wrapText="1"/>
    </xf>
    <xf numFmtId="176" fontId="115" fillId="0" borderId="0">
      <alignment horizontal="left"/>
    </xf>
    <xf numFmtId="0" fontId="88" fillId="0" borderId="0"/>
    <xf numFmtId="0" fontId="116" fillId="0" borderId="0"/>
    <xf numFmtId="0" fontId="13" fillId="0" borderId="0"/>
    <xf numFmtId="0" fontId="11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89" fillId="0" borderId="0"/>
    <xf numFmtId="3" fontId="117" fillId="0" borderId="0"/>
    <xf numFmtId="3" fontId="118" fillId="0" borderId="0"/>
    <xf numFmtId="3" fontId="119" fillId="0" borderId="28"/>
    <xf numFmtId="225" fontId="69" fillId="0" borderId="12"/>
    <xf numFmtId="3" fontId="119" fillId="0" borderId="28"/>
    <xf numFmtId="40" fontId="120" fillId="0" borderId="0" applyBorder="0">
      <alignment horizontal="right"/>
    </xf>
    <xf numFmtId="40" fontId="120" fillId="0" borderId="0" applyBorder="0">
      <alignment horizontal="right"/>
    </xf>
    <xf numFmtId="40" fontId="120" fillId="0" borderId="0" applyBorder="0">
      <alignment horizontal="right"/>
    </xf>
    <xf numFmtId="40" fontId="120" fillId="0" borderId="0" applyBorder="0">
      <alignment horizontal="right"/>
    </xf>
    <xf numFmtId="40" fontId="120" fillId="0" borderId="0" applyBorder="0">
      <alignment horizontal="right"/>
    </xf>
    <xf numFmtId="3" fontId="119" fillId="0" borderId="28"/>
    <xf numFmtId="225" fontId="69" fillId="0" borderId="12"/>
    <xf numFmtId="198" fontId="121" fillId="0" borderId="9" applyNumberFormat="0" applyFill="0" applyBorder="0" applyAlignment="0" applyProtection="0">
      <alignment horizontal="center"/>
    </xf>
    <xf numFmtId="3" fontId="5" fillId="0" borderId="1" applyNumberFormat="0" applyFont="0" applyFill="0" applyAlignment="0" applyProtection="0">
      <alignment vertical="center"/>
    </xf>
    <xf numFmtId="0" fontId="122" fillId="0" borderId="0"/>
    <xf numFmtId="49" fontId="18" fillId="0" borderId="0" applyFill="0" applyBorder="0" applyAlignment="0"/>
    <xf numFmtId="226" fontId="5" fillId="0" borderId="0" applyFill="0" applyBorder="0" applyAlignment="0"/>
    <xf numFmtId="184" fontId="5" fillId="0" borderId="0" applyFill="0" applyBorder="0" applyAlignment="0"/>
    <xf numFmtId="0" fontId="5" fillId="0" borderId="0"/>
    <xf numFmtId="0" fontId="123" fillId="0" borderId="0" applyNumberFormat="0" applyFill="0" applyBorder="0" applyAlignment="0" applyProtection="0"/>
    <xf numFmtId="0" fontId="69" fillId="0" borderId="0"/>
    <xf numFmtId="223" fontId="5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18" fillId="35" borderId="28" applyNumberFormat="0" applyFill="0" applyBorder="0" applyAlignment="0">
      <alignment horizontal="left"/>
      <protection locked="0"/>
    </xf>
    <xf numFmtId="37" fontId="23" fillId="39" borderId="0" applyNumberFormat="0" applyBorder="0" applyAlignment="0" applyProtection="0"/>
    <xf numFmtId="37" fontId="23" fillId="0" borderId="0"/>
    <xf numFmtId="3" fontId="124" fillId="0" borderId="21" applyProtection="0"/>
    <xf numFmtId="227" fontId="88" fillId="0" borderId="0" applyFont="0" applyFill="0" applyBorder="0" applyAlignment="0" applyProtection="0"/>
    <xf numFmtId="228" fontId="5" fillId="0" borderId="0" applyFont="0" applyFill="0" applyBorder="0" applyAlignment="0" applyProtection="0"/>
    <xf numFmtId="229" fontId="5" fillId="0" borderId="0" applyFont="0" applyFill="0" applyBorder="0" applyAlignment="0" applyProtection="0"/>
    <xf numFmtId="49" fontId="125" fillId="35" borderId="29" applyFill="0" applyBorder="0"/>
    <xf numFmtId="49" fontId="125" fillId="0" borderId="30" applyFill="0" applyBorder="0">
      <alignment wrapText="1"/>
    </xf>
    <xf numFmtId="49" fontId="125" fillId="37" borderId="0" applyBorder="0">
      <alignment horizontal="left" wrapText="1"/>
    </xf>
    <xf numFmtId="230" fontId="126" fillId="0" borderId="0" applyFill="0" applyBorder="0"/>
    <xf numFmtId="0" fontId="23" fillId="48" borderId="0" applyFill="0" applyBorder="0"/>
    <xf numFmtId="14" fontId="23" fillId="48" borderId="0" applyFill="0" applyBorder="0"/>
    <xf numFmtId="10" fontId="23" fillId="0" borderId="0" applyFill="0" applyBorder="0"/>
    <xf numFmtId="0" fontId="23" fillId="0" borderId="0" applyFill="0" applyBorder="0"/>
    <xf numFmtId="0" fontId="23" fillId="35" borderId="0" applyFill="0" applyBorder="0">
      <alignment horizontal="left"/>
    </xf>
    <xf numFmtId="0" fontId="23" fillId="0" borderId="0" applyFill="0" applyBorder="0"/>
    <xf numFmtId="0" fontId="125" fillId="35" borderId="0" applyFill="0" applyBorder="0"/>
    <xf numFmtId="231" fontId="23" fillId="35" borderId="0" applyFill="0" applyBorder="0">
      <alignment horizontal="right"/>
    </xf>
    <xf numFmtId="49" fontId="69" fillId="37" borderId="0" applyBorder="0"/>
    <xf numFmtId="10" fontId="126" fillId="37" borderId="0" applyFill="0" applyBorder="0"/>
    <xf numFmtId="49" fontId="23" fillId="0" borderId="0" applyFill="0" applyBorder="0"/>
    <xf numFmtId="0" fontId="23" fillId="35" borderId="0" applyFill="0" applyBorder="0"/>
    <xf numFmtId="0" fontId="23" fillId="48" borderId="0" applyFill="0" applyBorder="0"/>
    <xf numFmtId="232" fontId="125" fillId="35" borderId="0" applyFill="0" applyBorder="0"/>
    <xf numFmtId="49" fontId="125" fillId="35" borderId="0" applyFill="0" applyBorder="0">
      <alignment horizontal="left"/>
    </xf>
    <xf numFmtId="14" fontId="23" fillId="48" borderId="0" applyFill="0" applyBorder="0"/>
    <xf numFmtId="0" fontId="23" fillId="48" borderId="0" applyFont="0" applyBorder="0"/>
    <xf numFmtId="14" fontId="23" fillId="35" borderId="0" applyFill="0" applyBorder="0"/>
    <xf numFmtId="10" fontId="23" fillId="35" borderId="0" applyFill="0" applyBorder="0"/>
    <xf numFmtId="0" fontId="127" fillId="35" borderId="0" applyFill="0" applyBorder="0"/>
    <xf numFmtId="0" fontId="23" fillId="0" borderId="0" applyFill="0" applyBorder="0"/>
    <xf numFmtId="0" fontId="23" fillId="35" borderId="0" applyFill="0" applyBorder="0">
      <alignment horizontal="left" indent="3"/>
    </xf>
    <xf numFmtId="0" fontId="23" fillId="35" borderId="0" applyFill="0" applyBorder="0"/>
    <xf numFmtId="0" fontId="23" fillId="35" borderId="0" applyFill="0" applyBorder="0"/>
    <xf numFmtId="0" fontId="23" fillId="37" borderId="0" applyFill="0" applyBorder="0"/>
    <xf numFmtId="14" fontId="23" fillId="35" borderId="0" applyFill="0" applyBorder="0"/>
    <xf numFmtId="49" fontId="128" fillId="0" borderId="0" applyBorder="0"/>
    <xf numFmtId="0" fontId="23" fillId="35" borderId="0" applyFill="0" applyBorder="0"/>
    <xf numFmtId="0" fontId="23" fillId="0" borderId="0" applyFill="0" applyBorder="0"/>
    <xf numFmtId="49" fontId="125" fillId="37" borderId="0" applyBorder="0"/>
    <xf numFmtId="49" fontId="125" fillId="37" borderId="0" applyBorder="0"/>
    <xf numFmtId="0" fontId="23" fillId="35" borderId="0" applyFill="0" applyBorder="0">
      <alignment horizontal="left"/>
    </xf>
    <xf numFmtId="49" fontId="125" fillId="37" borderId="0" applyBorder="0">
      <alignment horizontal="left"/>
    </xf>
    <xf numFmtId="49" fontId="125" fillId="37" borderId="0" applyBorder="0">
      <alignment horizontal="left"/>
    </xf>
    <xf numFmtId="230" fontId="126" fillId="0" borderId="0" applyFill="0" applyBorder="0"/>
    <xf numFmtId="230" fontId="23" fillId="0" borderId="0" applyFill="0" applyBorder="0"/>
    <xf numFmtId="230" fontId="126" fillId="35" borderId="0" applyFill="0" applyBorder="0"/>
    <xf numFmtId="231" fontId="23" fillId="35" borderId="0" applyFill="0" applyBorder="0"/>
    <xf numFmtId="230" fontId="23" fillId="37" borderId="0" applyFill="0" applyBorder="0"/>
    <xf numFmtId="230" fontId="23" fillId="35" borderId="0" applyFill="0" applyBorder="0"/>
    <xf numFmtId="230" fontId="23" fillId="35" borderId="0" applyFill="0" applyBorder="0"/>
    <xf numFmtId="231" fontId="23" fillId="35" borderId="0">
      <alignment horizontal="right"/>
    </xf>
    <xf numFmtId="231" fontId="23" fillId="35" borderId="0" applyFill="0" applyBorder="0">
      <alignment horizontal="right"/>
    </xf>
    <xf numFmtId="231" fontId="23" fillId="35" borderId="0" applyFill="0" applyBorder="0">
      <alignment horizontal="right"/>
    </xf>
    <xf numFmtId="231" fontId="23" fillId="35" borderId="0" applyFill="0" applyBorder="0">
      <alignment horizontal="right"/>
    </xf>
    <xf numFmtId="231" fontId="23" fillId="0" borderId="0" applyFont="0" applyFill="0" applyBorder="0">
      <alignment horizontal="right"/>
    </xf>
    <xf numFmtId="49" fontId="125" fillId="35" borderId="0" applyFill="0" applyBorder="0"/>
    <xf numFmtId="0" fontId="23" fillId="35" borderId="0" applyFill="0" applyBorder="0">
      <alignment horizontal="right"/>
    </xf>
    <xf numFmtId="231" fontId="126" fillId="35" borderId="0" applyFill="0" applyBorder="0"/>
    <xf numFmtId="231" fontId="23" fillId="35" borderId="0" applyFill="0" applyBorder="0">
      <alignment horizontal="right"/>
    </xf>
    <xf numFmtId="230" fontId="23" fillId="0" borderId="0" applyFill="0" applyBorder="0"/>
    <xf numFmtId="231" fontId="23" fillId="35" borderId="0" applyFill="0" applyBorder="0">
      <alignment horizontal="right"/>
    </xf>
    <xf numFmtId="230" fontId="125" fillId="0" borderId="0" applyFill="0" applyBorder="0"/>
    <xf numFmtId="230" fontId="23" fillId="0" borderId="0" applyFill="0" applyBorder="0"/>
    <xf numFmtId="230" fontId="125" fillId="0" borderId="0" applyFill="0" applyBorder="0"/>
    <xf numFmtId="231" fontId="23" fillId="35" borderId="0" applyFill="0" applyBorder="0">
      <alignment horizontal="right"/>
    </xf>
    <xf numFmtId="233" fontId="5" fillId="0" borderId="0" applyFont="0" applyFill="0" applyBorder="0" applyAlignment="0" applyProtection="0"/>
    <xf numFmtId="234" fontId="5" fillId="0" borderId="0" applyFont="0" applyFill="0" applyBorder="0" applyAlignment="0" applyProtection="0"/>
    <xf numFmtId="0" fontId="66" fillId="0" borderId="0" applyFill="0" applyBorder="0" applyProtection="0"/>
    <xf numFmtId="0" fontId="129" fillId="0" borderId="0" applyNumberFormat="0" applyFill="0" applyBorder="0" applyAlignment="0" applyProtection="0"/>
    <xf numFmtId="0" fontId="130" fillId="0" borderId="31"/>
    <xf numFmtId="0" fontId="125" fillId="35" borderId="28" applyNumberFormat="0" applyFont="0" applyAlignment="0" applyProtection="0">
      <protection locked="0"/>
    </xf>
    <xf numFmtId="0" fontId="131" fillId="0" borderId="0">
      <alignment horizontal="right"/>
    </xf>
    <xf numFmtId="0" fontId="5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5" fillId="0" borderId="0"/>
    <xf numFmtId="0" fontId="132" fillId="0" borderId="0"/>
    <xf numFmtId="0" fontId="133" fillId="0" borderId="0"/>
    <xf numFmtId="20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9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3" fillId="5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/>
    <xf numFmtId="2" fontId="3" fillId="6" borderId="1" xfId="0" applyNumberFormat="1" applyFont="1" applyFill="1" applyBorder="1"/>
    <xf numFmtId="1" fontId="3" fillId="6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2" fontId="2" fillId="7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NumberFormat="1"/>
    <xf numFmtId="2" fontId="0" fillId="0" borderId="1" xfId="0" applyNumberFormat="1" applyBorder="1"/>
    <xf numFmtId="0" fontId="0" fillId="7" borderId="1" xfId="0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35" fontId="2" fillId="0" borderId="0" xfId="3" applyNumberFormat="1" applyFont="1" applyFill="1" applyBorder="1" applyAlignment="1">
      <alignment horizontal="right" vertical="center" wrapText="1"/>
    </xf>
    <xf numFmtId="235" fontId="3" fillId="0" borderId="0" xfId="0" applyNumberFormat="1" applyFont="1" applyFill="1" applyBorder="1" applyAlignment="1">
      <alignment horizontal="center" vertical="center" wrapText="1"/>
    </xf>
    <xf numFmtId="235" fontId="3" fillId="0" borderId="0" xfId="0" applyNumberFormat="1" applyFont="1" applyFill="1" applyBorder="1" applyAlignment="1">
      <alignment horizontal="right" vertical="center" wrapText="1"/>
    </xf>
    <xf numFmtId="235" fontId="2" fillId="0" borderId="0" xfId="0" applyNumberFormat="1" applyFont="1" applyFill="1" applyBorder="1" applyAlignment="1">
      <alignment horizontal="center" vertical="center" wrapText="1"/>
    </xf>
    <xf numFmtId="235" fontId="2" fillId="0" borderId="0" xfId="0" applyNumberFormat="1" applyFont="1" applyFill="1" applyBorder="1" applyAlignment="1">
      <alignment horizontal="right" vertical="center" wrapText="1"/>
    </xf>
    <xf numFmtId="235" fontId="8" fillId="0" borderId="0" xfId="0" applyNumberFormat="1" applyFont="1" applyFill="1" applyBorder="1" applyAlignment="1">
      <alignment horizontal="center" vertical="center" wrapText="1"/>
    </xf>
    <xf numFmtId="235" fontId="8" fillId="0" borderId="0" xfId="0" applyNumberFormat="1" applyFont="1" applyFill="1" applyBorder="1" applyAlignment="1">
      <alignment horizontal="right" vertical="center" wrapText="1"/>
    </xf>
    <xf numFmtId="235" fontId="135" fillId="0" borderId="0" xfId="0" applyNumberFormat="1" applyFont="1" applyFill="1" applyBorder="1" applyAlignment="1">
      <alignment horizontal="center" vertical="center" wrapText="1"/>
    </xf>
    <xf numFmtId="235" fontId="0" fillId="0" borderId="1" xfId="0" applyNumberFormat="1" applyBorder="1"/>
    <xf numFmtId="235" fontId="0" fillId="0" borderId="6" xfId="0" applyNumberFormat="1" applyBorder="1"/>
    <xf numFmtId="235" fontId="0" fillId="0" borderId="16" xfId="0" applyNumberFormat="1" applyBorder="1"/>
    <xf numFmtId="0" fontId="8" fillId="0" borderId="32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8" fillId="49" borderId="32" xfId="0" applyFont="1" applyFill="1" applyBorder="1" applyAlignment="1">
      <alignment vertical="center" wrapText="1"/>
    </xf>
    <xf numFmtId="235" fontId="3" fillId="49" borderId="33" xfId="0" applyNumberFormat="1" applyFont="1" applyFill="1" applyBorder="1"/>
    <xf numFmtId="235" fontId="3" fillId="0" borderId="33" xfId="0" applyNumberFormat="1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2" fontId="138" fillId="50" borderId="1" xfId="0" applyNumberFormat="1" applyFont="1" applyFill="1" applyBorder="1" applyAlignment="1" applyProtection="1">
      <alignment horizontal="left" vertical="center"/>
      <protection locked="0"/>
    </xf>
    <xf numFmtId="2" fontId="138" fillId="50" borderId="1" xfId="0" applyNumberFormat="1" applyFont="1" applyFill="1" applyBorder="1" applyAlignment="1" applyProtection="1">
      <alignment vertical="center"/>
      <protection locked="0"/>
    </xf>
    <xf numFmtId="2" fontId="138" fillId="50" borderId="4" xfId="0" applyNumberFormat="1" applyFont="1" applyFill="1" applyBorder="1" applyAlignment="1" applyProtection="1">
      <alignment vertical="center"/>
      <protection locked="0"/>
    </xf>
    <xf numFmtId="2" fontId="8" fillId="49" borderId="2" xfId="0" applyNumberFormat="1" applyFont="1" applyFill="1" applyBorder="1" applyAlignment="1">
      <alignment horizontal="center" vertical="center" wrapText="1"/>
    </xf>
    <xf numFmtId="0" fontId="8" fillId="49" borderId="3" xfId="0" applyFont="1" applyFill="1" applyBorder="1" applyAlignment="1">
      <alignment vertical="center" wrapText="1"/>
    </xf>
    <xf numFmtId="0" fontId="8" fillId="49" borderId="3" xfId="0" applyFont="1" applyFill="1" applyBorder="1" applyAlignment="1">
      <alignment horizontal="center" vertical="center" wrapText="1"/>
    </xf>
    <xf numFmtId="2" fontId="8" fillId="49" borderId="3" xfId="0" applyNumberFormat="1" applyFont="1" applyFill="1" applyBorder="1" applyAlignment="1">
      <alignment horizontal="center" vertical="center" wrapText="1"/>
    </xf>
    <xf numFmtId="2" fontId="8" fillId="49" borderId="3" xfId="0" applyNumberFormat="1" applyFont="1" applyFill="1" applyBorder="1" applyAlignment="1">
      <alignment horizontal="right" vertical="center" wrapText="1"/>
    </xf>
    <xf numFmtId="235" fontId="8" fillId="49" borderId="4" xfId="0" applyNumberFormat="1" applyFont="1" applyFill="1" applyBorder="1" applyAlignment="1">
      <alignment horizontal="right" vertical="center" wrapText="1"/>
    </xf>
    <xf numFmtId="0" fontId="3" fillId="49" borderId="3" xfId="0" applyFont="1" applyFill="1" applyBorder="1" applyAlignment="1">
      <alignment vertical="center" wrapText="1"/>
    </xf>
    <xf numFmtId="0" fontId="2" fillId="49" borderId="3" xfId="0" applyFont="1" applyFill="1" applyBorder="1" applyAlignment="1">
      <alignment horizontal="center" vertical="center" wrapText="1"/>
    </xf>
    <xf numFmtId="2" fontId="2" fillId="49" borderId="3" xfId="0" applyNumberFormat="1" applyFont="1" applyFill="1" applyBorder="1" applyAlignment="1">
      <alignment horizontal="center" vertical="center" wrapText="1"/>
    </xf>
    <xf numFmtId="235" fontId="2" fillId="49" borderId="3" xfId="0" applyNumberFormat="1" applyFont="1" applyFill="1" applyBorder="1" applyAlignment="1">
      <alignment horizontal="center" vertical="center" wrapText="1"/>
    </xf>
    <xf numFmtId="235" fontId="2" fillId="49" borderId="3" xfId="0" applyNumberFormat="1" applyFont="1" applyFill="1" applyBorder="1" applyAlignment="1">
      <alignment horizontal="right" vertical="center" wrapText="1"/>
    </xf>
    <xf numFmtId="235" fontId="3" fillId="49" borderId="4" xfId="0" applyNumberFormat="1" applyFont="1" applyFill="1" applyBorder="1" applyAlignment="1">
      <alignment horizontal="right" vertical="center" wrapText="1"/>
    </xf>
    <xf numFmtId="2" fontId="3" fillId="49" borderId="2" xfId="0" applyNumberFormat="1" applyFont="1" applyFill="1" applyBorder="1" applyAlignment="1">
      <alignment horizontal="center" vertical="center" wrapText="1"/>
    </xf>
    <xf numFmtId="235" fontId="8" fillId="49" borderId="3" xfId="0" applyNumberFormat="1" applyFont="1" applyFill="1" applyBorder="1" applyAlignment="1">
      <alignment horizontal="center" vertical="center" wrapText="1"/>
    </xf>
    <xf numFmtId="235" fontId="8" fillId="49" borderId="3" xfId="0" applyNumberFormat="1" applyFont="1" applyFill="1" applyBorder="1" applyAlignment="1">
      <alignment horizontal="right" vertical="center" wrapText="1"/>
    </xf>
    <xf numFmtId="2" fontId="139" fillId="50" borderId="1" xfId="0" applyNumberFormat="1" applyFont="1" applyFill="1" applyBorder="1" applyAlignment="1">
      <alignment horizontal="center" vertical="center" wrapText="1"/>
    </xf>
    <xf numFmtId="0" fontId="139" fillId="50" borderId="1" xfId="0" applyFont="1" applyFill="1" applyBorder="1" applyAlignment="1">
      <alignment vertical="center" wrapText="1"/>
    </xf>
    <xf numFmtId="0" fontId="139" fillId="50" borderId="1" xfId="0" applyFont="1" applyFill="1" applyBorder="1" applyAlignment="1">
      <alignment horizontal="center" vertical="center" wrapText="1"/>
    </xf>
    <xf numFmtId="0" fontId="139" fillId="50" borderId="1" xfId="0" applyFont="1" applyFill="1" applyBorder="1" applyAlignment="1">
      <alignment horizontal="right" vertical="center" wrapText="1"/>
    </xf>
    <xf numFmtId="235" fontId="138" fillId="50" borderId="1" xfId="3" applyNumberFormat="1" applyFont="1" applyFill="1" applyBorder="1" applyAlignment="1">
      <alignment horizontal="right" vertical="center" wrapText="1"/>
    </xf>
    <xf numFmtId="235" fontId="140" fillId="50" borderId="1" xfId="3" applyNumberFormat="1" applyFont="1" applyFill="1" applyBorder="1" applyAlignment="1">
      <alignment horizontal="right" vertical="center" wrapText="1"/>
    </xf>
    <xf numFmtId="235" fontId="2" fillId="0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 vertical="center"/>
    </xf>
    <xf numFmtId="0" fontId="3" fillId="7" borderId="1" xfId="0" applyFont="1" applyFill="1" applyBorder="1"/>
    <xf numFmtId="0" fontId="0" fillId="7" borderId="0" xfId="0" applyFill="1"/>
    <xf numFmtId="0" fontId="141" fillId="0" borderId="1" xfId="0" applyFont="1" applyBorder="1"/>
    <xf numFmtId="0" fontId="142" fillId="0" borderId="1" xfId="0" applyFont="1" applyBorder="1"/>
    <xf numFmtId="0" fontId="137" fillId="0" borderId="1" xfId="0" applyFont="1" applyBorder="1"/>
    <xf numFmtId="0" fontId="3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1" fontId="3" fillId="4" borderId="16" xfId="0" applyNumberFormat="1" applyFont="1" applyFill="1" applyBorder="1"/>
    <xf numFmtId="0" fontId="0" fillId="0" borderId="2" xfId="0" applyBorder="1"/>
    <xf numFmtId="0" fontId="3" fillId="0" borderId="4" xfId="0" applyFont="1" applyBorder="1"/>
    <xf numFmtId="0" fontId="3" fillId="0" borderId="5" xfId="0" applyFont="1" applyFill="1" applyBorder="1" applyAlignment="1">
      <alignment horizontal="left" vertical="center"/>
    </xf>
    <xf numFmtId="0" fontId="0" fillId="0" borderId="4" xfId="0" applyBorder="1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9" fontId="3" fillId="0" borderId="1" xfId="3139" applyFont="1" applyBorder="1"/>
    <xf numFmtId="2" fontId="3" fillId="7" borderId="10" xfId="0" applyNumberFormat="1" applyFont="1" applyFill="1" applyBorder="1"/>
    <xf numFmtId="2" fontId="3" fillId="7" borderId="6" xfId="0" applyNumberFormat="1" applyFont="1" applyFill="1" applyBorder="1"/>
    <xf numFmtId="2" fontId="3" fillId="7" borderId="1" xfId="0" applyNumberFormat="1" applyFont="1" applyFill="1" applyBorder="1"/>
    <xf numFmtId="2" fontId="3" fillId="7" borderId="16" xfId="0" applyNumberFormat="1" applyFont="1" applyFill="1" applyBorder="1"/>
    <xf numFmtId="0" fontId="2" fillId="7" borderId="1" xfId="0" applyFont="1" applyFill="1" applyBorder="1" applyAlignment="1">
      <alignment horizontal="left" vertical="center"/>
    </xf>
    <xf numFmtId="0" fontId="3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135" fillId="7" borderId="1" xfId="0" applyFont="1" applyFill="1" applyBorder="1"/>
    <xf numFmtId="0" fontId="137" fillId="7" borderId="1" xfId="0" applyFont="1" applyFill="1" applyBorder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2" fontId="3" fillId="7" borderId="1" xfId="0" applyNumberFormat="1" applyFont="1" applyFill="1" applyBorder="1" applyAlignment="1">
      <alignment horizontal="center"/>
    </xf>
    <xf numFmtId="0" fontId="137" fillId="0" borderId="4" xfId="0" applyFont="1" applyBorder="1" applyAlignment="1">
      <alignment horizontal="left" vertical="center"/>
    </xf>
    <xf numFmtId="0" fontId="134" fillId="0" borderId="1" xfId="0" applyFont="1" applyBorder="1"/>
    <xf numFmtId="2" fontId="2" fillId="0" borderId="2" xfId="0" applyNumberFormat="1" applyFont="1" applyBorder="1" applyAlignment="1">
      <alignment horizontal="right" vertical="center"/>
    </xf>
    <xf numFmtId="2" fontId="3" fillId="7" borderId="9" xfId="0" applyNumberFormat="1" applyFont="1" applyFill="1" applyBorder="1"/>
    <xf numFmtId="1" fontId="3" fillId="4" borderId="9" xfId="0" applyNumberFormat="1" applyFont="1" applyFill="1" applyBorder="1"/>
    <xf numFmtId="2" fontId="3" fillId="7" borderId="0" xfId="0" applyNumberFormat="1" applyFont="1" applyFill="1" applyBorder="1"/>
    <xf numFmtId="2" fontId="3" fillId="4" borderId="6" xfId="0" applyNumberFormat="1" applyFont="1" applyFill="1" applyBorder="1"/>
    <xf numFmtId="0" fontId="2" fillId="7" borderId="1" xfId="0" applyFont="1" applyFill="1" applyBorder="1" applyAlignment="1">
      <alignment horizontal="right" vertical="center"/>
    </xf>
    <xf numFmtId="235" fontId="2" fillId="7" borderId="0" xfId="0" applyNumberFormat="1" applyFont="1" applyFill="1" applyBorder="1" applyAlignment="1">
      <alignment horizontal="center" vertical="center" wrapText="1"/>
    </xf>
    <xf numFmtId="235" fontId="3" fillId="7" borderId="0" xfId="0" applyNumberFormat="1" applyFont="1" applyFill="1" applyBorder="1" applyAlignment="1">
      <alignment horizontal="center" vertical="center" wrapText="1"/>
    </xf>
    <xf numFmtId="235" fontId="2" fillId="0" borderId="9" xfId="0" applyNumberFormat="1" applyFont="1" applyBorder="1"/>
    <xf numFmtId="0" fontId="7" fillId="0" borderId="5" xfId="0" applyFont="1" applyFill="1" applyBorder="1" applyAlignment="1">
      <alignment vertical="center" wrapText="1"/>
    </xf>
    <xf numFmtId="235" fontId="0" fillId="0" borderId="23" xfId="0" applyNumberFormat="1" applyBorder="1"/>
    <xf numFmtId="2" fontId="8" fillId="7" borderId="0" xfId="0" applyNumberFormat="1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vertical="center" wrapText="1"/>
    </xf>
    <xf numFmtId="0" fontId="8" fillId="7" borderId="0" xfId="0" applyFont="1" applyFill="1" applyBorder="1" applyAlignment="1">
      <alignment horizontal="center" vertical="center" wrapText="1"/>
    </xf>
    <xf numFmtId="235" fontId="8" fillId="7" borderId="0" xfId="0" applyNumberFormat="1" applyFont="1" applyFill="1" applyBorder="1" applyAlignment="1">
      <alignment horizontal="center" vertical="center" wrapText="1"/>
    </xf>
    <xf numFmtId="235" fontId="8" fillId="7" borderId="0" xfId="0" applyNumberFormat="1" applyFont="1" applyFill="1" applyBorder="1" applyAlignment="1">
      <alignment horizontal="right" vertical="center" wrapText="1"/>
    </xf>
    <xf numFmtId="0" fontId="2" fillId="7" borderId="0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235" fontId="2" fillId="0" borderId="0" xfId="0" applyNumberFormat="1" applyFont="1" applyFill="1" applyBorder="1" applyAlignment="1">
      <alignment vertical="center" wrapText="1"/>
    </xf>
    <xf numFmtId="2" fontId="2" fillId="7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235" fontId="2" fillId="7" borderId="0" xfId="0" applyNumberFormat="1" applyFont="1" applyFill="1" applyBorder="1" applyAlignment="1">
      <alignment horizontal="right" vertical="center" wrapText="1"/>
    </xf>
    <xf numFmtId="2" fontId="135" fillId="7" borderId="0" xfId="0" applyNumberFormat="1" applyFont="1" applyFill="1" applyBorder="1" applyAlignment="1">
      <alignment horizontal="center" vertical="center" wrapText="1"/>
    </xf>
    <xf numFmtId="235" fontId="2" fillId="0" borderId="0" xfId="0" applyNumberFormat="1" applyFont="1" applyFill="1" applyAlignment="1">
      <alignment horizontal="right" vertical="center" wrapText="1"/>
    </xf>
    <xf numFmtId="0" fontId="134" fillId="49" borderId="32" xfId="0" applyFont="1" applyFill="1" applyBorder="1" applyAlignment="1">
      <alignment horizontal="center"/>
    </xf>
    <xf numFmtId="0" fontId="134" fillId="49" borderId="33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 vertical="center" wrapText="1"/>
    </xf>
    <xf numFmtId="2" fontId="136" fillId="50" borderId="2" xfId="0" applyNumberFormat="1" applyFont="1" applyFill="1" applyBorder="1" applyAlignment="1" applyProtection="1">
      <alignment horizontal="center" vertical="center"/>
      <protection locked="0"/>
    </xf>
    <xf numFmtId="2" fontId="136" fillId="50" borderId="3" xfId="0" applyNumberFormat="1" applyFont="1" applyFill="1" applyBorder="1" applyAlignment="1" applyProtection="1">
      <alignment horizontal="center" vertical="center"/>
      <protection locked="0"/>
    </xf>
    <xf numFmtId="2" fontId="136" fillId="50" borderId="4" xfId="0" applyNumberFormat="1" applyFont="1" applyFill="1" applyBorder="1" applyAlignment="1" applyProtection="1">
      <alignment horizontal="center" vertical="center"/>
      <protection locked="0"/>
    </xf>
    <xf numFmtId="0" fontId="138" fillId="50" borderId="1" xfId="0" applyFont="1" applyFill="1" applyBorder="1" applyAlignment="1">
      <alignment horizontal="right" vertical="center" wrapText="1"/>
    </xf>
    <xf numFmtId="2" fontId="138" fillId="50" borderId="2" xfId="0" applyNumberFormat="1" applyFont="1" applyFill="1" applyBorder="1" applyAlignment="1" applyProtection="1">
      <alignment horizontal="left" vertical="center"/>
      <protection locked="0"/>
    </xf>
    <xf numFmtId="2" fontId="138" fillId="50" borderId="3" xfId="0" applyNumberFormat="1" applyFont="1" applyFill="1" applyBorder="1" applyAlignment="1" applyProtection="1">
      <alignment horizontal="left" vertical="center"/>
      <protection locked="0"/>
    </xf>
    <xf numFmtId="0" fontId="140" fillId="50" borderId="1" xfId="0" applyFont="1" applyFill="1" applyBorder="1" applyAlignment="1">
      <alignment horizontal="right" vertical="center" wrapText="1"/>
    </xf>
    <xf numFmtId="0" fontId="2" fillId="50" borderId="25" xfId="0" applyFont="1" applyFill="1" applyBorder="1" applyAlignment="1">
      <alignment horizontal="center" vertical="center" wrapText="1"/>
    </xf>
    <xf numFmtId="0" fontId="2" fillId="50" borderId="34" xfId="0" applyFont="1" applyFill="1" applyBorder="1" applyAlignment="1">
      <alignment horizontal="center" vertical="center" wrapText="1"/>
    </xf>
    <xf numFmtId="0" fontId="2" fillId="50" borderId="23" xfId="0" applyFont="1" applyFill="1" applyBorder="1" applyAlignment="1">
      <alignment horizontal="center" vertical="center" wrapText="1"/>
    </xf>
    <xf numFmtId="0" fontId="2" fillId="50" borderId="5" xfId="0" applyFont="1" applyFill="1" applyBorder="1" applyAlignment="1">
      <alignment horizontal="center" vertical="center" wrapText="1"/>
    </xf>
    <xf numFmtId="0" fontId="2" fillId="50" borderId="7" xfId="0" applyFont="1" applyFill="1" applyBorder="1" applyAlignment="1">
      <alignment horizontal="center" vertical="center" wrapText="1"/>
    </xf>
    <xf numFmtId="0" fontId="2" fillId="50" borderId="35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</cellXfs>
  <cellStyles count="3144">
    <cellStyle name=" 1" xfId="5"/>
    <cellStyle name="$/mm" xfId="6"/>
    <cellStyle name="%" xfId="7"/>
    <cellStyle name="% 2" xfId="8"/>
    <cellStyle name="% 2 2" xfId="9"/>
    <cellStyle name="% 2 2 2" xfId="10"/>
    <cellStyle name="% 2 2 3" xfId="11"/>
    <cellStyle name="% 2 2_20090514-DURAZNOS 2-Diana&amp;Jose-R1" xfId="12"/>
    <cellStyle name="% 2 3" xfId="13"/>
    <cellStyle name="% 2 4" xfId="14"/>
    <cellStyle name="% 2_1.-ALBARRACIN 2" xfId="15"/>
    <cellStyle name="% 3" xfId="16"/>
    <cellStyle name="% 3 2" xfId="17"/>
    <cellStyle name="% 3 2 2" xfId="18"/>
    <cellStyle name="% 4" xfId="19"/>
    <cellStyle name="% 4 2" xfId="20"/>
    <cellStyle name="% 5" xfId="21"/>
    <cellStyle name="%_13_05_2008 Metrado Yuracmayo H72M" xfId="22"/>
    <cellStyle name="%_13_05_2008 Metrado Yuracmayo H72M_ejemplo" xfId="23"/>
    <cellStyle name="%_13_05_2008 Metrado Yuracmayo H72M_Hoja Resumen Con Firmas" xfId="24"/>
    <cellStyle name="%_13_05_2008 Metrado Yuracmayo H72M_Rep Choloque 30m - II" xfId="25"/>
    <cellStyle name="%_20090514-DURAZNOS 2-Diana&amp;Jose-R1" xfId="26"/>
    <cellStyle name="%_20090514-DURAZNOS 2-Diana&amp;Jose-R1 2" xfId="27"/>
    <cellStyle name="%_20090514-DURAZNOS 2-Diana&amp;Jose-R1_OFE UMBE _(Ref. 20-04-11)" xfId="28"/>
    <cellStyle name="%_20090514-DURAZNOS 2-Diana&amp;Jose-R1_RESUMEN DE HOJA DE OFERTA Y LIQUIDACION" xfId="29"/>
    <cellStyle name="%_20090609 EBC VILLA EDEN-Alberto-Oscar" xfId="30"/>
    <cellStyle name="%_20090609 EBC VILLA EDEN-Alberto-Oscar_Cob-0105 Pilcocota" xfId="31"/>
    <cellStyle name="%_20090609 EBC VILLA EDEN-Alberto-Oscar_Cob-0105 Pilcocota_OFE UMBE _(Ref. 20-04-11)" xfId="32"/>
    <cellStyle name="%_20090609 EBC VILLA EDEN-Alberto-Oscar_Cob-0105 Pilcocota_RESUMEN DE HOJA DE OFERTA Y LIQUIDACION" xfId="33"/>
    <cellStyle name="%_20090609 EBC VILLA EDEN-Alberto-Oscar_MOntelima" xfId="34"/>
    <cellStyle name="%_20090609 EBC VILLA EDEN-Alberto-Oscar_OFE UMBE _(Ref. 20-04-11)" xfId="35"/>
    <cellStyle name="%_20090609 EBC VILLA EDEN-Alberto-Oscar_RESUMEN DE HOJA DE OFERTA Y LIQUIDACION" xfId="36"/>
    <cellStyle name="%_20090624 Felix Loyola 2-Alberto-Evelyn" xfId="37"/>
    <cellStyle name="%_20090624 Felix Loyola 2-Alberto-Evelyn-R" xfId="38"/>
    <cellStyle name="%_20090624 Felix Loyola 2-Alberto-Evelyn-R_Cob-0105 Pilcocota" xfId="39"/>
    <cellStyle name="%_20090624 Felix Loyola 2-Alberto-Evelyn-R_Cob-0105 Pilcocota_OFE UMBE _(Ref. 20-04-11)" xfId="40"/>
    <cellStyle name="%_20090624 Felix Loyola 2-Alberto-Evelyn-R_Cob-0105 Pilcocota_RESUMEN DE HOJA DE OFERTA Y LIQUIDACION" xfId="41"/>
    <cellStyle name="%_20090624 Felix Loyola 2-Alberto-Evelyn-R_MOntelima" xfId="42"/>
    <cellStyle name="%_20090624 Felix Loyola 2-Alberto-Evelyn-R_OFE UMBE _(Ref. 20-04-11)" xfId="43"/>
    <cellStyle name="%_20090624 Felix Loyola 2-Alberto-Evelyn-R_RESUMEN DE HOJA DE OFERTA Y LIQUIDACION" xfId="44"/>
    <cellStyle name="%_20090702 GABINO CHACALTANA 2-Alberto-Cesar" xfId="45"/>
    <cellStyle name="%_20090703 URA PUNTA SAL_NEXTEL-Alberto-Cesar" xfId="46"/>
    <cellStyle name="%_20090708 UC_YANACA-R" xfId="47"/>
    <cellStyle name="%_20090716-AYARSA-ECELYNJOSE_final tm" xfId="48"/>
    <cellStyle name="%_20090716-AYARSA-ECELYNJOSE_final tm_OFE PUEBLO NUEVO SUR DE ICA" xfId="49"/>
    <cellStyle name="%_20090716-AYARSA-ECELYNJOSE_final tm_OFE PUEBLO NUEVO SUR DE ICA 2" xfId="50"/>
    <cellStyle name="%_20090803 CASCANUECES-10-08" xfId="51"/>
    <cellStyle name="%_20090903_PALLANCHACRA_JUDITH_JOSE (3)" xfId="52"/>
    <cellStyle name="%_20090903_UC PALLANCHACRA_JUDITH_JOSE" xfId="53"/>
    <cellStyle name="%_20090907_CHIARA_JUDITH_JOSE" xfId="54"/>
    <cellStyle name="%_20090907_URA ALTO CAIMA_JUDITH_SEGUNDO" xfId="55"/>
    <cellStyle name="%_20090928_EBC ADELA LOLI_JUDITH_VERONICA" xfId="56"/>
    <cellStyle name="%_20091120_Dalias_JUDITH_MARIANA" xfId="57"/>
    <cellStyle name="%_20100217_Jose_Evelyn_Vila Vila" xfId="58"/>
    <cellStyle name="%_ACARREO CHAPIMARCA" xfId="59"/>
    <cellStyle name="%_Analisis de precios superpaquetes" xfId="60"/>
    <cellStyle name="%_Analisis de precios superpaquetes v13-Feb-2010" xfId="61"/>
    <cellStyle name="%_Anexos" xfId="62"/>
    <cellStyle name="%_Archivo de trabajo" xfId="63"/>
    <cellStyle name="%_Base Depurada de LPU 2009 - 2010" xfId="64"/>
    <cellStyle name="%_Base Depurada de LPU 2009 - 2010 2" xfId="65"/>
    <cellStyle name="%_Base Depurada de LPU 2009 - 2010 2 2" xfId="66"/>
    <cellStyle name="%_Base Depurada de LPU 2009 - 2010 3" xfId="67"/>
    <cellStyle name="%_Base Depurada de LPU 2009 - 2010_EBC CHOROPAMPA_Inicial_Aenor_Rev1" xfId="68"/>
    <cellStyle name="%_Base Depurada de LPU 2009 - 2010_EBC CHOROPAMPA_Inicial_Aenor_Rev1_EBC Coronel Bardales_Inicial_Rev 1" xfId="69"/>
    <cellStyle name="%_Base Depurada de LPU 2009 - 2010_EBC CHOROPAMPA_Inicial_Aenor_Rev1_EBC molinera tropical_Inicial_Rev 1" xfId="70"/>
    <cellStyle name="%_Base Depurada de LPU 2009 - 2010_EBC CHOROPAMPA_Inicial_Aenor_Rev1_EPPSA METRADO!" xfId="71"/>
    <cellStyle name="%_Base Depurada de LPU 2009 - 2010_OFE UMBE _(Ref. 20-04-11)" xfId="72"/>
    <cellStyle name="%_Base Depurada de LPU 2009 - 2010_RESUMEN DE HOJA DE OFERTA Y LIQUIDACION" xfId="73"/>
    <cellStyle name="%_bentonita y thorgel - vila vila" xfId="74"/>
    <cellStyle name="%_Book7" xfId="75"/>
    <cellStyle name="%_CASETAS TEMM 25_01_09" xfId="76"/>
    <cellStyle name="%_Cob-0105 Pilcocota" xfId="77"/>
    <cellStyle name="%_Comentarios" xfId="78"/>
    <cellStyle name="%_Comentarios_Archivo de trabajo" xfId="79"/>
    <cellStyle name="%_Comparativas de paquetes OA 18NOV" xfId="80"/>
    <cellStyle name="%_Comparativas de paquetes OA 29-Oct-08" xfId="81"/>
    <cellStyle name="%_Copia de Preciario LATAM 2009" xfId="82"/>
    <cellStyle name="%_DURANGO TEM" xfId="83"/>
    <cellStyle name="%_E_Procurement_AdicionalesCACVSA Ericsson 19OCT07_TRABAJO" xfId="84"/>
    <cellStyle name="%_E_Procurement_AdicionalesCACVSA Ericsson 19OCT07_TRABAJO_20090514-DURAZNOS 2-Diana&amp;Jose-R1" xfId="85"/>
    <cellStyle name="%_E_Procurement_AdicionalesCACVSA Ericsson 19OCT07_TRABAJO_20090514-DURAZNOS 2-Diana&amp;Jose-R1_OFE UMBE _(Ref. 20-04-11)" xfId="86"/>
    <cellStyle name="%_E_Procurement_AdicionalesCACVSA Ericsson 19OCT07_TRABAJO_20090514-DURAZNOS 2-Diana&amp;Jose-R1_RESUMEN DE HOJA DE OFERTA Y LIQUIDACION" xfId="87"/>
    <cellStyle name="%_E_Procurement_AdicionalesCACVSA Ericsson 19OCT07_TRABAJO_20090609 EBC VILLA EDEN-Alberto-Oscar" xfId="88"/>
    <cellStyle name="%_E_Procurement_AdicionalesCACVSA Ericsson 19OCT07_TRABAJO_20090716-AYARSA-ECELYNJOSE_final tm" xfId="89"/>
    <cellStyle name="%_E_Procurement_AdicionalesCACVSA Ericsson 19OCT07_TRABAJO_20090716-AYARSA-ECELYNJOSE_final tm_Cob-0105 Pilcocota" xfId="90"/>
    <cellStyle name="%_E_Procurement_AdicionalesCACVSA Ericsson 19OCT07_TRABAJO_20090716-AYARSA-ECELYNJOSE_final tm_Cob-0105 Pilcocota_OFE UMBE _(Ref. 20-04-11)" xfId="91"/>
    <cellStyle name="%_E_Procurement_AdicionalesCACVSA Ericsson 19OCT07_TRABAJO_20090716-AYARSA-ECELYNJOSE_final tm_Cob-0105 Pilcocota_RESUMEN DE HOJA DE OFERTA Y LIQUIDACION" xfId="92"/>
    <cellStyle name="%_E_Procurement_AdicionalesCACVSA Ericsson 19OCT07_TRABAJO_20090716-AYARSA-ECELYNJOSE_final tm_MOntelima" xfId="93"/>
    <cellStyle name="%_E_Procurement_AdicionalesCACVSA Ericsson 19OCT07_TRABAJO_20090716-AYARSA-ECELYNJOSE_final tm_OFE UMBE _(Ref. 20-04-11)" xfId="94"/>
    <cellStyle name="%_E_Procurement_AdicionalesCACVSA Ericsson 19OCT07_TRABAJO_20090716-AYARSA-ECELYNJOSE_final tm_RESUMEN DE HOJA DE OFERTA Y LIQUIDACION" xfId="95"/>
    <cellStyle name="%_E_Procurement_AdicionalesCACVSA Ericsson 19OCT07_TRABAJO_DURAZNOS 2 OFE" xfId="96"/>
    <cellStyle name="%_E_Procurement_AdicionalesCACVSA Ericsson 19OCT07_TRABAJO_DURAZNOS 2 OFE_OFE UMBE _(Ref. 20-04-11)" xfId="97"/>
    <cellStyle name="%_E_Procurement_AdicionalesCACVSA Ericsson 19OCT07_TRABAJO_DURAZNOS 2 OFE_RESUMEN DE HOJA DE OFERTA Y LIQUIDACION" xfId="98"/>
    <cellStyle name="%_E_Procurement_AdicionalesCACVSA Ericsson 19OCT07_TRABAJO_EBC CHOROPAMPA_Inicial_Aenor_Rev1" xfId="99"/>
    <cellStyle name="%_E_Procurement_AdicionalesCACVSA Ericsson 19OCT07_TRABAJO_EBC CHOROPAMPA_Inicial_Aenor_Rev1_EBC Coronel Bardales_Inicial_Rev 1" xfId="100"/>
    <cellStyle name="%_E_Procurement_AdicionalesCACVSA Ericsson 19OCT07_TRABAJO_EBC CHOROPAMPA_Inicial_Aenor_Rev1_EBC molinera tropical_Inicial_Rev 1" xfId="101"/>
    <cellStyle name="%_E_Procurement_AdicionalesCACVSA Ericsson 19OCT07_TRABAJO_EBC CHOROPAMPA_Inicial_Aenor_Rev1_EPPSA METRADO!" xfId="102"/>
    <cellStyle name="%_E_Procurement_AdicionalesCACVSA Ericsson 19OCT07_TRABAJO_Hoja Resumen Con Firmas" xfId="103"/>
    <cellStyle name="%_E_Procurement_AdicionalesCACVSA Ericsson 19OCT07_TRABAJO_Hoja Resumen Con Firmas_20090928_EBC ADELA LOLI_JUDITH_VERONICA" xfId="104"/>
    <cellStyle name="%_E_Procurement_AdicionalesCACVSA Ericsson 19OCT07_TRABAJO_Hoja Resumen Con Firmas_Cob-0105 Pilcocota" xfId="105"/>
    <cellStyle name="%_E_Procurement_AdicionalesCACVSA Ericsson 19OCT07_TRABAJO_Hoja Resumen Con Firmas_Cob-0105 Pilcocota_OFE UMBE _(Ref. 20-04-11)" xfId="106"/>
    <cellStyle name="%_E_Procurement_AdicionalesCACVSA Ericsson 19OCT07_TRABAJO_Hoja Resumen Con Firmas_Cob-0105 Pilcocota_RESUMEN DE HOJA DE OFERTA Y LIQUIDACION" xfId="107"/>
    <cellStyle name="%_E_Procurement_AdicionalesCACVSA Ericsson 19OCT07_TRABAJO_Hoja Resumen Con Firmas_EBC TOCNOPE" xfId="108"/>
    <cellStyle name="%_E_Procurement_AdicionalesCACVSA Ericsson 19OCT07_TRABAJO_Hoja Resumen Con Firmas_MOntelima" xfId="109"/>
    <cellStyle name="%_E_Procurement_AdicionalesCACVSA Ericsson 19OCT07_TRABAJO_Hoja Resumen Con Firmas_OFE UMBE _(Ref. 20-04-11)" xfId="110"/>
    <cellStyle name="%_E_Procurement_AdicionalesCACVSA Ericsson 19OCT07_TRABAJO_Hoja Resumen Con Firmas_OFERTA DE GE - MONTE LOS OLIVOS - SIN TANQUES" xfId="111"/>
    <cellStyle name="%_E_Procurement_AdicionalesCACVSA Ericsson 19OCT07_TRABAJO_Hoja Resumen Con Firmas_RESUMEN DE HOJA DE OFERTA Y LIQUIDACION" xfId="112"/>
    <cellStyle name="%_E_Procurement_AdicionalesCACVSA Ericsson 19OCT07_TRABAJO_PES0S para acarreo" xfId="113"/>
    <cellStyle name="%_E_Procurement_AdicionalesCACVSA Ericsson 19OCT07_TRABAJO_PES0S para acarreo_20090928_EBC ADELA LOLI_JUDITH_VERONICA" xfId="114"/>
    <cellStyle name="%_E_Procurement_AdicionalesCACVSA Ericsson 19OCT07_TRABAJO_PES0S para acarreo_Cob-0105 Pilcocota" xfId="115"/>
    <cellStyle name="%_E_Procurement_AdicionalesCACVSA Ericsson 19OCT07_TRABAJO_PES0S para acarreo_Cob-0105 Pilcocota_OFE UMBE _(Ref. 20-04-11)" xfId="116"/>
    <cellStyle name="%_E_Procurement_AdicionalesCACVSA Ericsson 19OCT07_TRABAJO_PES0S para acarreo_Cob-0105 Pilcocota_RESUMEN DE HOJA DE OFERTA Y LIQUIDACION" xfId="117"/>
    <cellStyle name="%_E_Procurement_AdicionalesCACVSA Ericsson 19OCT07_TRABAJO_PES0S para acarreo_EBC TOCNOPE" xfId="118"/>
    <cellStyle name="%_E_Procurement_AdicionalesCACVSA Ericsson 19OCT07_TRABAJO_PES0S para acarreo_MOntelima" xfId="119"/>
    <cellStyle name="%_E_Procurement_AdicionalesCACVSA Ericsson 19OCT07_TRABAJO_PES0S para acarreo_OFE UMBE _(Ref. 20-04-11)" xfId="120"/>
    <cellStyle name="%_E_Procurement_AdicionalesCACVSA Ericsson 19OCT07_TRABAJO_PES0S para acarreo_OFERTA DE GE - MONTE LOS OLIVOS - SIN TANQUES" xfId="121"/>
    <cellStyle name="%_E_Procurement_AdicionalesCACVSA Ericsson 19OCT07_TRABAJO_PES0S para acarreo_RESUMEN DE HOJA DE OFERTA Y LIQUIDACION" xfId="122"/>
    <cellStyle name="%_E_Procurement_AdicionalesCACVSA Ericsson 19OCT07_TRABAJO_Rep Choloque 30m - II" xfId="123"/>
    <cellStyle name="%_E_Procurement_AdicionalesCACVSA Ericsson 19OCT07_TRABAJO_Rep Choloque 30m - II_20090928_EBC ADELA LOLI_JUDITH_VERONICA" xfId="124"/>
    <cellStyle name="%_E_Procurement_AdicionalesCACVSA Ericsson 19OCT07_TRABAJO_Rep Choloque 30m - II_Cob-0105 Pilcocota" xfId="125"/>
    <cellStyle name="%_E_Procurement_AdicionalesCACVSA Ericsson 19OCT07_TRABAJO_Rep Choloque 30m - II_Cob-0105 Pilcocota_OFE UMBE _(Ref. 20-04-11)" xfId="126"/>
    <cellStyle name="%_E_Procurement_AdicionalesCACVSA Ericsson 19OCT07_TRABAJO_Rep Choloque 30m - II_Cob-0105 Pilcocota_RESUMEN DE HOJA DE OFERTA Y LIQUIDACION" xfId="127"/>
    <cellStyle name="%_E_Procurement_AdicionalesCACVSA Ericsson 19OCT07_TRABAJO_Rep Choloque 30m - II_EBC TOCNOPE" xfId="128"/>
    <cellStyle name="%_E_Procurement_AdicionalesCACVSA Ericsson 19OCT07_TRABAJO_Rep Choloque 30m - II_MOntelima" xfId="129"/>
    <cellStyle name="%_E_Procurement_AdicionalesCACVSA Ericsson 19OCT07_TRABAJO_Rep Choloque 30m - II_OFE UMBE _(Ref. 20-04-11)" xfId="130"/>
    <cellStyle name="%_E_Procurement_AdicionalesCACVSA Ericsson 19OCT07_TRABAJO_Rep Choloque 30m - II_OFERTA DE GE - MONTE LOS OLIVOS - SIN TANQUES" xfId="131"/>
    <cellStyle name="%_E_Procurement_AdicionalesCACVSA Ericsson 19OCT07_TRABAJO_Rep Choloque 30m - II_RESUMEN DE HOJA DE OFERTA Y LIQUIDACION" xfId="132"/>
    <cellStyle name="%_E_Procurement_AdicionalesCACVSA Ericsson 19OCT07_TRABAJO_URA GRAU" xfId="133"/>
    <cellStyle name="%_EBC AERONAUTICA - LISTO" xfId="134"/>
    <cellStyle name="%_EBC AERONAUTICA - LISTO_Hoja Resumen Con Firmas" xfId="135"/>
    <cellStyle name="%_EBC AERONAUTICA - LISTO_Hoja Resumen Con Firmas_20090928_EBC ADELA LOLI_JUDITH_VERONICA" xfId="136"/>
    <cellStyle name="%_EBC AERONAUTICA - LISTO_Hoja Resumen Con Firmas_Cob-0105 Pilcocota" xfId="137"/>
    <cellStyle name="%_EBC AERONAUTICA - LISTO_Hoja Resumen Con Firmas_Cob-0105 Pilcocota_OFE UMBE _(Ref. 20-04-11)" xfId="138"/>
    <cellStyle name="%_EBC AERONAUTICA - LISTO_Hoja Resumen Con Firmas_Cob-0105 Pilcocota_RESUMEN DE HOJA DE OFERTA Y LIQUIDACION" xfId="139"/>
    <cellStyle name="%_EBC AERONAUTICA - LISTO_Hoja Resumen Con Firmas_EBC TOCNOPE" xfId="140"/>
    <cellStyle name="%_EBC AERONAUTICA - LISTO_Hoja Resumen Con Firmas_MOntelima" xfId="141"/>
    <cellStyle name="%_EBC AERONAUTICA - LISTO_Hoja Resumen Con Firmas_OFE UMBE _(Ref. 20-04-11)" xfId="142"/>
    <cellStyle name="%_EBC AERONAUTICA - LISTO_Hoja Resumen Con Firmas_OFERTA DE GE - MONTE LOS OLIVOS - SIN TANQUES" xfId="143"/>
    <cellStyle name="%_EBC AERONAUTICA - LISTO_Hoja Resumen Con Firmas_RESUMEN DE HOJA DE OFERTA Y LIQUIDACION" xfId="144"/>
    <cellStyle name="%_EBC AERONAUTICA - LISTO_Rep Choloque 30m - II" xfId="145"/>
    <cellStyle name="%_EBC AERONAUTICA - LISTO_Rep Choloque 30m - II_20090928_EBC ADELA LOLI_JUDITH_VERONICA" xfId="146"/>
    <cellStyle name="%_EBC AERONAUTICA - LISTO_Rep Choloque 30m - II_Cob-0105 Pilcocota" xfId="147"/>
    <cellStyle name="%_EBC AERONAUTICA - LISTO_Rep Choloque 30m - II_Cob-0105 Pilcocota_OFE UMBE _(Ref. 20-04-11)" xfId="148"/>
    <cellStyle name="%_EBC AERONAUTICA - LISTO_Rep Choloque 30m - II_Cob-0105 Pilcocota_RESUMEN DE HOJA DE OFERTA Y LIQUIDACION" xfId="149"/>
    <cellStyle name="%_EBC AERONAUTICA - LISTO_Rep Choloque 30m - II_EBC TOCNOPE" xfId="150"/>
    <cellStyle name="%_EBC AERONAUTICA - LISTO_Rep Choloque 30m - II_MOntelima" xfId="151"/>
    <cellStyle name="%_EBC AERONAUTICA - LISTO_Rep Choloque 30m - II_OFE UMBE _(Ref. 20-04-11)" xfId="152"/>
    <cellStyle name="%_EBC AERONAUTICA - LISTO_Rep Choloque 30m - II_OFERTA DE GE - MONTE LOS OLIVOS - SIN TANQUES" xfId="153"/>
    <cellStyle name="%_EBC AERONAUTICA - LISTO_Rep Choloque 30m - II_RESUMEN DE HOJA DE OFERTA Y LIQUIDACION" xfId="154"/>
    <cellStyle name="%_EBC AGRICULTURA - R1" xfId="155"/>
    <cellStyle name="%_EBC CAJAS" xfId="156"/>
    <cellStyle name="%_EBC CAJAS_OFE PUEBLO NUEVO SUR DE ICA" xfId="157"/>
    <cellStyle name="%_EBC CAJAS_OFE PUEBLO NUEVO SUR DE ICA 2" xfId="158"/>
    <cellStyle name="%_EBC CHOSICA_LAMBAYEQUE - lista de materiales" xfId="159"/>
    <cellStyle name="%_EBC Coronel Bardales_Inicial_Rev 1" xfId="160"/>
    <cellStyle name="%_EBC DURANGO 2008 rv(1)" xfId="161"/>
    <cellStyle name="%_EBC DURANGO 2008 rv(1)_OFE PUEBLO NUEVO SUR DE ICA" xfId="162"/>
    <cellStyle name="%_EBC DURANGO 2008 rv(1)_OFE PUEBLO NUEVO SUR DE ICA 2" xfId="163"/>
    <cellStyle name="%_EBC EL RECREO 2008" xfId="164"/>
    <cellStyle name="%_EBC EL RECREO 2008_OFE PUEBLO NUEVO SUR DE ICA" xfId="165"/>
    <cellStyle name="%_EBC EL RECREO 2008_OFE PUEBLO NUEVO SUR DE ICA 2" xfId="166"/>
    <cellStyle name="%_EBC HUSARES" xfId="167"/>
    <cellStyle name="%_EBC HUSARES_Hoja Resumen Con Firmas" xfId="168"/>
    <cellStyle name="%_EBC HUSARES_Hoja Resumen Con Firmas_20090928_EBC ADELA LOLI_JUDITH_VERONICA" xfId="169"/>
    <cellStyle name="%_EBC HUSARES_Hoja Resumen Con Firmas_Cob-0105 Pilcocota" xfId="170"/>
    <cellStyle name="%_EBC HUSARES_Hoja Resumen Con Firmas_Cob-0105 Pilcocota_OFE UMBE _(Ref. 20-04-11)" xfId="171"/>
    <cellStyle name="%_EBC HUSARES_Hoja Resumen Con Firmas_Cob-0105 Pilcocota_RESUMEN DE HOJA DE OFERTA Y LIQUIDACION" xfId="172"/>
    <cellStyle name="%_EBC HUSARES_Hoja Resumen Con Firmas_EBC TOCNOPE" xfId="173"/>
    <cellStyle name="%_EBC HUSARES_Hoja Resumen Con Firmas_MOntelima" xfId="174"/>
    <cellStyle name="%_EBC HUSARES_Hoja Resumen Con Firmas_OFE UMBE _(Ref. 20-04-11)" xfId="175"/>
    <cellStyle name="%_EBC HUSARES_Hoja Resumen Con Firmas_OFERTA DE GE - MONTE LOS OLIVOS - SIN TANQUES" xfId="176"/>
    <cellStyle name="%_EBC HUSARES_Hoja Resumen Con Firmas_RESUMEN DE HOJA DE OFERTA Y LIQUIDACION" xfId="177"/>
    <cellStyle name="%_EBC HUSARES_Rep Choloque 30m - II" xfId="178"/>
    <cellStyle name="%_EBC HUSARES_Rep Choloque 30m - II_20090928_EBC ADELA LOLI_JUDITH_VERONICA" xfId="179"/>
    <cellStyle name="%_EBC HUSARES_Rep Choloque 30m - II_Cob-0105 Pilcocota" xfId="180"/>
    <cellStyle name="%_EBC HUSARES_Rep Choloque 30m - II_Cob-0105 Pilcocota_OFE UMBE _(Ref. 20-04-11)" xfId="181"/>
    <cellStyle name="%_EBC HUSARES_Rep Choloque 30m - II_Cob-0105 Pilcocota_RESUMEN DE HOJA DE OFERTA Y LIQUIDACION" xfId="182"/>
    <cellStyle name="%_EBC HUSARES_Rep Choloque 30m - II_EBC TOCNOPE" xfId="183"/>
    <cellStyle name="%_EBC HUSARES_Rep Choloque 30m - II_MOntelima" xfId="184"/>
    <cellStyle name="%_EBC HUSARES_Rep Choloque 30m - II_OFE UMBE _(Ref. 20-04-11)" xfId="185"/>
    <cellStyle name="%_EBC HUSARES_Rep Choloque 30m - II_OFERTA DE GE - MONTE LOS OLIVOS - SIN TANQUES" xfId="186"/>
    <cellStyle name="%_EBC HUSARES_Rep Choloque 30m - II_RESUMEN DE HOJA DE OFERTA Y LIQUIDACION" xfId="187"/>
    <cellStyle name="%_EBC Limatambo 29-05" xfId="188"/>
    <cellStyle name="%_EBC Limatambo precios Cusco" xfId="189"/>
    <cellStyle name="%_EBC molinera tropical_Inicial_Rev 1" xfId="190"/>
    <cellStyle name="%_EBC TOCNOPE" xfId="191"/>
    <cellStyle name="%_EBC YANAMA" xfId="192"/>
    <cellStyle name="%_EBC YANAMA_Hoja Resumen Con Firmas" xfId="193"/>
    <cellStyle name="%_EBC YANAMA_Hoja Resumen Con Firmas_20090928_EBC ADELA LOLI_JUDITH_VERONICA" xfId="194"/>
    <cellStyle name="%_EBC YANAMA_Hoja Resumen Con Firmas_Cob-0105 Pilcocota" xfId="195"/>
    <cellStyle name="%_EBC YANAMA_Hoja Resumen Con Firmas_Cob-0105 Pilcocota_OFE UMBE _(Ref. 20-04-11)" xfId="196"/>
    <cellStyle name="%_EBC YANAMA_Hoja Resumen Con Firmas_Cob-0105 Pilcocota_RESUMEN DE HOJA DE OFERTA Y LIQUIDACION" xfId="197"/>
    <cellStyle name="%_EBC YANAMA_Hoja Resumen Con Firmas_EBC TOCNOPE" xfId="198"/>
    <cellStyle name="%_EBC YANAMA_Hoja Resumen Con Firmas_MOntelima" xfId="199"/>
    <cellStyle name="%_EBC YANAMA_Hoja Resumen Con Firmas_OFE UMBE _(Ref. 20-04-11)" xfId="200"/>
    <cellStyle name="%_EBC YANAMA_Hoja Resumen Con Firmas_OFERTA DE GE - MONTE LOS OLIVOS - SIN TANQUES" xfId="201"/>
    <cellStyle name="%_EBC YANAMA_Hoja Resumen Con Firmas_RESUMEN DE HOJA DE OFERTA Y LIQUIDACION" xfId="202"/>
    <cellStyle name="%_EBC YANAMA_Rep Choloque 30m - II" xfId="203"/>
    <cellStyle name="%_EBC YANAMA_Rep Choloque 30m - II_20090928_EBC ADELA LOLI_JUDITH_VERONICA" xfId="204"/>
    <cellStyle name="%_EBC YANAMA_Rep Choloque 30m - II_Cob-0105 Pilcocota" xfId="205"/>
    <cellStyle name="%_EBC YANAMA_Rep Choloque 30m - II_Cob-0105 Pilcocota_OFE UMBE _(Ref. 20-04-11)" xfId="206"/>
    <cellStyle name="%_EBC YANAMA_Rep Choloque 30m - II_Cob-0105 Pilcocota_RESUMEN DE HOJA DE OFERTA Y LIQUIDACION" xfId="207"/>
    <cellStyle name="%_EBC YANAMA_Rep Choloque 30m - II_EBC TOCNOPE" xfId="208"/>
    <cellStyle name="%_EBC YANAMA_Rep Choloque 30m - II_MOntelima" xfId="209"/>
    <cellStyle name="%_EBC YANAMA_Rep Choloque 30m - II_OFE UMBE _(Ref. 20-04-11)" xfId="210"/>
    <cellStyle name="%_EBC YANAMA_Rep Choloque 30m - II_OFERTA DE GE - MONTE LOS OLIVOS - SIN TANQUES" xfId="211"/>
    <cellStyle name="%_EBC YANAMA_Rep Choloque 30m - II_RESUMEN DE HOJA DE OFERTA Y LIQUIDACION" xfId="212"/>
    <cellStyle name="%_Ejemplo YANAMA" xfId="213"/>
    <cellStyle name="%_Ejemplo YANAMA_Hoja Resumen Con Firmas" xfId="214"/>
    <cellStyle name="%_Ejemplo YANAMA_Hoja Resumen Con Firmas_20090928_EBC ADELA LOLI_JUDITH_VERONICA" xfId="215"/>
    <cellStyle name="%_Ejemplo YANAMA_Hoja Resumen Con Firmas_Cob-0105 Pilcocota" xfId="216"/>
    <cellStyle name="%_Ejemplo YANAMA_Hoja Resumen Con Firmas_Cob-0105 Pilcocota_OFE UMBE _(Ref. 20-04-11)" xfId="217"/>
    <cellStyle name="%_Ejemplo YANAMA_Hoja Resumen Con Firmas_Cob-0105 Pilcocota_RESUMEN DE HOJA DE OFERTA Y LIQUIDACION" xfId="218"/>
    <cellStyle name="%_Ejemplo YANAMA_Hoja Resumen Con Firmas_EBC TOCNOPE" xfId="219"/>
    <cellStyle name="%_Ejemplo YANAMA_Hoja Resumen Con Firmas_MOntelima" xfId="220"/>
    <cellStyle name="%_Ejemplo YANAMA_Hoja Resumen Con Firmas_OFE UMBE _(Ref. 20-04-11)" xfId="221"/>
    <cellStyle name="%_Ejemplo YANAMA_Hoja Resumen Con Firmas_OFERTA DE GE - MONTE LOS OLIVOS - SIN TANQUES" xfId="222"/>
    <cellStyle name="%_Ejemplo YANAMA_Hoja Resumen Con Firmas_RESUMEN DE HOJA DE OFERTA Y LIQUIDACION" xfId="223"/>
    <cellStyle name="%_Ejemplo YANAMA_Rep Choloque 30m - II" xfId="224"/>
    <cellStyle name="%_Ejemplo YANAMA_Rep Choloque 30m - II_20090928_EBC ADELA LOLI_JUDITH_VERONICA" xfId="225"/>
    <cellStyle name="%_Ejemplo YANAMA_Rep Choloque 30m - II_Cob-0105 Pilcocota" xfId="226"/>
    <cellStyle name="%_Ejemplo YANAMA_Rep Choloque 30m - II_Cob-0105 Pilcocota_OFE UMBE _(Ref. 20-04-11)" xfId="227"/>
    <cellStyle name="%_Ejemplo YANAMA_Rep Choloque 30m - II_Cob-0105 Pilcocota_RESUMEN DE HOJA DE OFERTA Y LIQUIDACION" xfId="228"/>
    <cellStyle name="%_Ejemplo YANAMA_Rep Choloque 30m - II_EBC TOCNOPE" xfId="229"/>
    <cellStyle name="%_Ejemplo YANAMA_Rep Choloque 30m - II_MOntelima" xfId="230"/>
    <cellStyle name="%_Ejemplo YANAMA_Rep Choloque 30m - II_OFE UMBE _(Ref. 20-04-11)" xfId="231"/>
    <cellStyle name="%_Ejemplo YANAMA_Rep Choloque 30m - II_OFERTA DE GE - MONTE LOS OLIVOS - SIN TANQUES" xfId="232"/>
    <cellStyle name="%_Ejemplo YANAMA_Rep Choloque 30m - II_RESUMEN DE HOJA DE OFERTA Y LIQUIDACION" xfId="233"/>
    <cellStyle name="%_ELMER" xfId="234"/>
    <cellStyle name="%_EPPSA METRADO!" xfId="235"/>
    <cellStyle name="%_Extensión de Línea 29_10_09" xfId="236"/>
    <cellStyle name="%_fomato acarreo" xfId="237"/>
    <cellStyle name="%_fomato acarreo_20090609 EBC VILLA EDEN-Alberto-Oscar" xfId="238"/>
    <cellStyle name="%_fomato acarreo_Cob-0105 Pilcocota" xfId="239"/>
    <cellStyle name="%_fomato acarreo_Cob-0105 Pilcocota_OFE UMBE _(Ref. 20-04-11)" xfId="240"/>
    <cellStyle name="%_fomato acarreo_Cob-0105 Pilcocota_RESUMEN DE HOJA DE OFERTA Y LIQUIDACION" xfId="241"/>
    <cellStyle name="%_fomato acarreo_EBC CHOROPAMPA_Inicial_Aenor_Rev1" xfId="242"/>
    <cellStyle name="%_fomato acarreo_EBC CHOROPAMPA_Inicial_Aenor_Rev1_EBC Coronel Bardales_Inicial_Rev 1" xfId="243"/>
    <cellStyle name="%_fomato acarreo_EBC CHOROPAMPA_Inicial_Aenor_Rev1_EBC molinera tropical_Inicial_Rev 1" xfId="244"/>
    <cellStyle name="%_fomato acarreo_EBC CHOROPAMPA_Inicial_Aenor_Rev1_EPPSA METRADO!" xfId="245"/>
    <cellStyle name="%_fomato acarreo_MOntelima" xfId="246"/>
    <cellStyle name="%_fomato acarreo_OFE UMBE _(Ref. 20-04-11)" xfId="247"/>
    <cellStyle name="%_fomato acarreo_PES0S para acarreo" xfId="248"/>
    <cellStyle name="%_fomato acarreo_PES0S para acarreo_20090928_EBC ADELA LOLI_JUDITH_VERONICA" xfId="249"/>
    <cellStyle name="%_fomato acarreo_PES0S para acarreo_Cob-0105 Pilcocota" xfId="250"/>
    <cellStyle name="%_fomato acarreo_PES0S para acarreo_Cob-0105 Pilcocota_OFE UMBE _(Ref. 20-04-11)" xfId="251"/>
    <cellStyle name="%_fomato acarreo_PES0S para acarreo_Cob-0105 Pilcocota_RESUMEN DE HOJA DE OFERTA Y LIQUIDACION" xfId="252"/>
    <cellStyle name="%_fomato acarreo_PES0S para acarreo_EBC TOCNOPE" xfId="253"/>
    <cellStyle name="%_fomato acarreo_PES0S para acarreo_MOntelima" xfId="254"/>
    <cellStyle name="%_fomato acarreo_PES0S para acarreo_OFE UMBE _(Ref. 20-04-11)" xfId="255"/>
    <cellStyle name="%_fomato acarreo_PES0S para acarreo_OFERTA DE GE - MONTE LOS OLIVOS - SIN TANQUES" xfId="256"/>
    <cellStyle name="%_fomato acarreo_PES0S para acarreo_RESUMEN DE HOJA DE OFERTA Y LIQUIDACION" xfId="257"/>
    <cellStyle name="%_fomato acarreo_Rep Choloque 30m - II" xfId="258"/>
    <cellStyle name="%_fomato acarreo_Rep Choloque 30m - II_20090928_EBC ADELA LOLI_JUDITH_VERONICA" xfId="259"/>
    <cellStyle name="%_fomato acarreo_Rep Choloque 30m - II_Cob-0105 Pilcocota" xfId="260"/>
    <cellStyle name="%_fomato acarreo_Rep Choloque 30m - II_Cob-0105 Pilcocota_OFE UMBE _(Ref. 20-04-11)" xfId="261"/>
    <cellStyle name="%_fomato acarreo_Rep Choloque 30m - II_Cob-0105 Pilcocota_RESUMEN DE HOJA DE OFERTA Y LIQUIDACION" xfId="262"/>
    <cellStyle name="%_fomato acarreo_Rep Choloque 30m - II_EBC TOCNOPE" xfId="263"/>
    <cellStyle name="%_fomato acarreo_Rep Choloque 30m - II_MOntelima" xfId="264"/>
    <cellStyle name="%_fomato acarreo_Rep Choloque 30m - II_OFE UMBE _(Ref. 20-04-11)" xfId="265"/>
    <cellStyle name="%_fomato acarreo_Rep Choloque 30m - II_OFERTA DE GE - MONTE LOS OLIVOS - SIN TANQUES" xfId="266"/>
    <cellStyle name="%_fomato acarreo_Rep Choloque 30m - II_RESUMEN DE HOJA DE OFERTA Y LIQUIDACION" xfId="267"/>
    <cellStyle name="%_fomato acarreo_RESUMEN DE HOJA DE OFERTA Y LIQUIDACION" xfId="268"/>
    <cellStyle name="%_fomato acarreo_URA GRAU" xfId="269"/>
    <cellStyle name="%_formato acarreo" xfId="270"/>
    <cellStyle name="%_Formato Resumen-LATAM 2009-LIQUIDACIONES" xfId="271"/>
    <cellStyle name="%_Formato Resumen-LATAM 2009-LIQUIDACIONES 2" xfId="272"/>
    <cellStyle name="%_Formato Resumen-LATAM 2009-R" xfId="273"/>
    <cellStyle name="%_Hoja Resumen Con Firmas" xfId="274"/>
    <cellStyle name="%_Hoja Resumen Con Firmas_20090928_EBC ADELA LOLI_JUDITH_VERONICA" xfId="275"/>
    <cellStyle name="%_Hoja Resumen Con Firmas_Cob-0105 Pilcocota" xfId="276"/>
    <cellStyle name="%_Hoja Resumen Con Firmas_Cob-0105 Pilcocota_OFE UMBE _(Ref. 20-04-11)" xfId="277"/>
    <cellStyle name="%_Hoja Resumen Con Firmas_Cob-0105 Pilcocota_RESUMEN DE HOJA DE OFERTA Y LIQUIDACION" xfId="278"/>
    <cellStyle name="%_Hoja Resumen Con Firmas_EBC TOCNOPE" xfId="279"/>
    <cellStyle name="%_Hoja Resumen Con Firmas_MOntelima" xfId="280"/>
    <cellStyle name="%_Hoja Resumen Con Firmas_OFE UMBE _(Ref. 20-04-11)" xfId="281"/>
    <cellStyle name="%_Hoja Resumen Con Firmas_OFERTA DE GE - MONTE LOS OLIVOS - SIN TANQUES" xfId="282"/>
    <cellStyle name="%_Hoja Resumen Con Firmas_RESUMEN DE HOJA DE OFERTA Y LIQUIDACION" xfId="283"/>
    <cellStyle name="%_Hoja1" xfId="284"/>
    <cellStyle name="%_Hoja1_Hoja Resumen Con Firmas" xfId="285"/>
    <cellStyle name="%_Hoja1_Hoja Resumen Con Firmas_20090928_EBC ADELA LOLI_JUDITH_VERONICA" xfId="286"/>
    <cellStyle name="%_Hoja1_Hoja Resumen Con Firmas_Cob-0105 Pilcocota" xfId="287"/>
    <cellStyle name="%_Hoja1_Hoja Resumen Con Firmas_Cob-0105 Pilcocota_OFE UMBE _(Ref. 20-04-11)" xfId="288"/>
    <cellStyle name="%_Hoja1_Hoja Resumen Con Firmas_Cob-0105 Pilcocota_RESUMEN DE HOJA DE OFERTA Y LIQUIDACION" xfId="289"/>
    <cellStyle name="%_Hoja1_Hoja Resumen Con Firmas_EBC TOCNOPE" xfId="290"/>
    <cellStyle name="%_Hoja1_Hoja Resumen Con Firmas_MOntelima" xfId="291"/>
    <cellStyle name="%_Hoja1_Hoja Resumen Con Firmas_OFE UMBE _(Ref. 20-04-11)" xfId="292"/>
    <cellStyle name="%_Hoja1_Hoja Resumen Con Firmas_OFERTA DE GE - MONTE LOS OLIVOS - SIN TANQUES" xfId="293"/>
    <cellStyle name="%_Hoja1_Hoja Resumen Con Firmas_RESUMEN DE HOJA DE OFERTA Y LIQUIDACION" xfId="294"/>
    <cellStyle name="%_Hoja1_Rep Choloque 30m - II" xfId="295"/>
    <cellStyle name="%_Hoja1_Rep Choloque 30m - II_20090928_EBC ADELA LOLI_JUDITH_VERONICA" xfId="296"/>
    <cellStyle name="%_Hoja1_Rep Choloque 30m - II_Cob-0105 Pilcocota" xfId="297"/>
    <cellStyle name="%_Hoja1_Rep Choloque 30m - II_Cob-0105 Pilcocota_OFE UMBE _(Ref. 20-04-11)" xfId="298"/>
    <cellStyle name="%_Hoja1_Rep Choloque 30m - II_Cob-0105 Pilcocota_RESUMEN DE HOJA DE OFERTA Y LIQUIDACION" xfId="299"/>
    <cellStyle name="%_Hoja1_Rep Choloque 30m - II_EBC TOCNOPE" xfId="300"/>
    <cellStyle name="%_Hoja1_Rep Choloque 30m - II_MOntelima" xfId="301"/>
    <cellStyle name="%_Hoja1_Rep Choloque 30m - II_OFE UMBE _(Ref. 20-04-11)" xfId="302"/>
    <cellStyle name="%_Hoja1_Rep Choloque 30m - II_OFERTA DE GE - MONTE LOS OLIVOS - SIN TANQUES" xfId="303"/>
    <cellStyle name="%_Hoja1_Rep Choloque 30m - II_RESUMEN DE HOJA DE OFERTA Y LIQUIDACION" xfId="304"/>
    <cellStyle name="%_Hoja3" xfId="305"/>
    <cellStyle name="%_Hoja3_20090514-DURAZNOS 2-Diana&amp;Jose-R1" xfId="306"/>
    <cellStyle name="%_Hoja3_20090514-DURAZNOS 2-Diana&amp;Jose-R1_OFE UMBE _(Ref. 20-04-11)" xfId="307"/>
    <cellStyle name="%_Hoja3_20090514-DURAZNOS 2-Diana&amp;Jose-R1_RESUMEN DE HOJA DE OFERTA Y LIQUIDACION" xfId="308"/>
    <cellStyle name="%_Hoja3_DURAZNOS 2 OFE" xfId="309"/>
    <cellStyle name="%_Hoja3_DURAZNOS 2 OFE_OFE UMBE _(Ref. 20-04-11)" xfId="310"/>
    <cellStyle name="%_Hoja3_DURAZNOS 2 OFE_RESUMEN DE HOJA DE OFERTA Y LIQUIDACION" xfId="311"/>
    <cellStyle name="%_INFRA RFQ2009 - Preciario V1" xfId="312"/>
    <cellStyle name="%_Infraestructura TISA - LPU 2009" xfId="313"/>
    <cellStyle name="%_Infraestructura TISA - Packs 2009" xfId="314"/>
    <cellStyle name="%_Infraestructura TLatam - Packs 2010 - Bajo Coste r2" xfId="315"/>
    <cellStyle name="%_Items OA costos precios y sus descuentos v5-Feb-2010" xfId="316"/>
    <cellStyle name="%_Libro2" xfId="317"/>
    <cellStyle name="%_Libro2 2" xfId="318"/>
    <cellStyle name="%_Libro2 2 2" xfId="319"/>
    <cellStyle name="%_Libro2 2 3" xfId="320"/>
    <cellStyle name="%_Libro2 3" xfId="321"/>
    <cellStyle name="%_Libro2_EBC CHOROPAMPA_Inicial_Aenor_Rev1" xfId="322"/>
    <cellStyle name="%_Libro2_EBC CHOROPAMPA_Inicial_Aenor_Rev1_EBC Coronel Bardales_Inicial_Rev 1" xfId="323"/>
    <cellStyle name="%_Libro2_EBC CHOROPAMPA_Inicial_Aenor_Rev1_EBC molinera tropical_Inicial_Rev 1" xfId="324"/>
    <cellStyle name="%_Libro2_EBC CHOROPAMPA_Inicial_Aenor_Rev1_EPPSA METRADO!" xfId="325"/>
    <cellStyle name="%_Libro2_OFE UMBE _(Ref. 20-04-11)" xfId="326"/>
    <cellStyle name="%_Libro2_RESUMEN DE HOJA DE OFERTA Y LIQUIDACION" xfId="327"/>
    <cellStyle name="%_Libro2_SBE_CAP4_RFX_ARG_V3.3" xfId="328"/>
    <cellStyle name="%_Liq. Guindas" xfId="329"/>
    <cellStyle name="%_LIQ. MIRAVE" xfId="330"/>
    <cellStyle name="%_LIQ. OCOBAMBA" xfId="331"/>
    <cellStyle name="%_LIQ. SELVA ALTO ALEGRE" xfId="332"/>
    <cellStyle name="%_LIQ. URA CIUDAD MI TRABAJO." xfId="333"/>
    <cellStyle name="%_LIQ. URA CIUDAD MI TRABAJO._20090903_PALLANCHACRA_JUDITH_JOSE (3)" xfId="334"/>
    <cellStyle name="%_LIQ. URA CIUDAD MI TRABAJO._20090907_CHIARA_JUDITH_JOSE" xfId="335"/>
    <cellStyle name="%_LIQ. URA CIUDAD MI TRABAJO._20090907_URA ALTO CAIMA_JUDITH_SEGUNDO" xfId="336"/>
    <cellStyle name="%_LIQ. URA CIUDAD MI TRABAJO._20090928_EBC ADELA LOLI_JUDITH_VERONICA" xfId="337"/>
    <cellStyle name="%_LIQ. URA CIUDAD MI TRABAJO._20091120_Dalias_JUDITH_MARIANA" xfId="338"/>
    <cellStyle name="%_LIQ. URA CIUDAD MI TRABAJO._20100217_Jose_Evelyn_Vila Vila" xfId="339"/>
    <cellStyle name="%_LIQ. URA CIUDAD MI TRABAJO._EBC AGRICULTURA - R1" xfId="340"/>
    <cellStyle name="%_LIQ. URA CIUDAD MI TRABAJO._EBC TOCNOPE" xfId="341"/>
    <cellStyle name="%_LIQ. URA CIUDAD MI TRABAJO._Liq. Guindas" xfId="342"/>
    <cellStyle name="%_LIQUIDACIàN  SAN JOSE DE SECCE (2)" xfId="343"/>
    <cellStyle name="%_Liquidacion EBC-HUSARES-modoficado al 29-11" xfId="344"/>
    <cellStyle name="%_Liquidacion EBC-HUSARES-modoficado al 29-11_Hoja Resumen Con Firmas" xfId="345"/>
    <cellStyle name="%_Liquidacion EBC-HUSARES-modoficado al 29-11_Hoja Resumen Con Firmas_20090928_EBC ADELA LOLI_JUDITH_VERONICA" xfId="346"/>
    <cellStyle name="%_Liquidacion EBC-HUSARES-modoficado al 29-11_Hoja Resumen Con Firmas_Cob-0105 Pilcocota" xfId="347"/>
    <cellStyle name="%_Liquidacion EBC-HUSARES-modoficado al 29-11_Hoja Resumen Con Firmas_Cob-0105 Pilcocota_OFE UMBE _(Ref. 20-04-11)" xfId="348"/>
    <cellStyle name="%_Liquidacion EBC-HUSARES-modoficado al 29-11_Hoja Resumen Con Firmas_Cob-0105 Pilcocota_RESUMEN DE HOJA DE OFERTA Y LIQUIDACION" xfId="349"/>
    <cellStyle name="%_Liquidacion EBC-HUSARES-modoficado al 29-11_Hoja Resumen Con Firmas_EBC TOCNOPE" xfId="350"/>
    <cellStyle name="%_Liquidacion EBC-HUSARES-modoficado al 29-11_Hoja Resumen Con Firmas_MOntelima" xfId="351"/>
    <cellStyle name="%_Liquidacion EBC-HUSARES-modoficado al 29-11_Hoja Resumen Con Firmas_OFE UMBE _(Ref. 20-04-11)" xfId="352"/>
    <cellStyle name="%_Liquidacion EBC-HUSARES-modoficado al 29-11_Hoja Resumen Con Firmas_OFERTA DE GE - MONTE LOS OLIVOS - SIN TANQUES" xfId="353"/>
    <cellStyle name="%_Liquidacion EBC-HUSARES-modoficado al 29-11_Hoja Resumen Con Firmas_RESUMEN DE HOJA DE OFERTA Y LIQUIDACION" xfId="354"/>
    <cellStyle name="%_Liquidacion EBC-HUSARES-modoficado al 29-11_Metrado As build - YURACMAYO" xfId="355"/>
    <cellStyle name="%_Liquidacion EBC-HUSARES-modoficado al 29-11_Metrado de Yuracmayo" xfId="356"/>
    <cellStyle name="%_Liquidacion EBC-HUSARES-modoficado al 29-11_Presupuesto Base Rep Cachigaga de 30m" xfId="357"/>
    <cellStyle name="%_Liquidacion EBC-HUSARES-modoficado al 29-11_Presupuesto Base Rep Cachigaga de 30m_1.-ALBARRACIN 2" xfId="358"/>
    <cellStyle name="%_Liquidacion EBC-HUSARES-modoficado al 29-11_Presupuesto Base Rep Cachigaga de 30m_20090514-DURAZNOS 2-Diana&amp;Jose-R1" xfId="359"/>
    <cellStyle name="%_Liquidacion EBC-HUSARES-modoficado al 29-11_Presupuesto Base Rep Cachigaga de 30m_20090609 EBC VILLA EDEN-Alberto-Oscar" xfId="360"/>
    <cellStyle name="%_Liquidacion EBC-HUSARES-modoficado al 29-11_Presupuesto Base Rep Cachigaga de 30m_20090609 EBC VILLA EDEN-Alberto-Oscar_Cob-0105 Pilcocota" xfId="361"/>
    <cellStyle name="%_Liquidacion EBC-HUSARES-modoficado al 29-11_Presupuesto Base Rep Cachigaga de 30m_20090609 EBC VILLA EDEN-Alberto-Oscar_Cob-0105 Pilcocota_OFE UMBE _(Ref. 20-04-11)" xfId="362"/>
    <cellStyle name="%_Liquidacion EBC-HUSARES-modoficado al 29-11_Presupuesto Base Rep Cachigaga de 30m_20090609 EBC VILLA EDEN-Alberto-Oscar_Cob-0105 Pilcocota_RESUMEN DE HOJA DE OFERTA Y LIQUIDACION" xfId="363"/>
    <cellStyle name="%_Liquidacion EBC-HUSARES-modoficado al 29-11_Presupuesto Base Rep Cachigaga de 30m_20090609 EBC VILLA EDEN-Alberto-Oscar_MOntelima" xfId="364"/>
    <cellStyle name="%_Liquidacion EBC-HUSARES-modoficado al 29-11_Presupuesto Base Rep Cachigaga de 30m_20090609 EBC VILLA EDEN-Alberto-Oscar_OFE UMBE _(Ref. 20-04-11)" xfId="365"/>
    <cellStyle name="%_Liquidacion EBC-HUSARES-modoficado al 29-11_Presupuesto Base Rep Cachigaga de 30m_20090609 EBC VILLA EDEN-Alberto-Oscar_RESUMEN DE HOJA DE OFERTA Y LIQUIDACION" xfId="366"/>
    <cellStyle name="%_Liquidacion EBC-HUSARES-modoficado al 29-11_Presupuesto Base Rep Cachigaga de 30m_20090624 Felix Loyola 2-Alberto-Evelyn" xfId="367"/>
    <cellStyle name="%_Liquidacion EBC-HUSARES-modoficado al 29-11_Presupuesto Base Rep Cachigaga de 30m_20090624 Felix Loyola 2-Alberto-Evelyn-R" xfId="368"/>
    <cellStyle name="%_Liquidacion EBC-HUSARES-modoficado al 29-11_Presupuesto Base Rep Cachigaga de 30m_20090702 GABINO CHACALTANA 2-Alberto-Cesar" xfId="369"/>
    <cellStyle name="%_Liquidacion EBC-HUSARES-modoficado al 29-11_Presupuesto Base Rep Cachigaga de 30m_20090703 ferrocarril-Alberto-Evelyn (2)" xfId="370"/>
    <cellStyle name="%_Liquidacion EBC-HUSARES-modoficado al 29-11_Presupuesto Base Rep Cachigaga de 30m_20090703 URA PUNTA SAL_NEXTEL-Alberto-Cesar" xfId="371"/>
    <cellStyle name="%_Liquidacion EBC-HUSARES-modoficado al 29-11_Presupuesto Base Rep Cachigaga de 30m_20090708 UC_YANACA-R" xfId="372"/>
    <cellStyle name="%_Liquidacion EBC-HUSARES-modoficado al 29-11_Presupuesto Base Rep Cachigaga de 30m_20090716-AYARSA-ECELYNJOSE_final tm" xfId="373"/>
    <cellStyle name="%_Liquidacion EBC-HUSARES-modoficado al 29-11_Presupuesto Base Rep Cachigaga de 30m_20090803 CASCANUECES-10-08" xfId="374"/>
    <cellStyle name="%_Liquidacion EBC-HUSARES-modoficado al 29-11_Presupuesto Base Rep Cachigaga de 30m_20090903_PALLANCHACRA_JUDITH_JOSE (3)" xfId="375"/>
    <cellStyle name="%_Liquidacion EBC-HUSARES-modoficado al 29-11_Presupuesto Base Rep Cachigaga de 30m_20090903_UC PALLANCHACRA_JUDITH_JOSE" xfId="376"/>
    <cellStyle name="%_Liquidacion EBC-HUSARES-modoficado al 29-11_Presupuesto Base Rep Cachigaga de 30m_20090903_UC_KAQUIABAMBA_JUDITH_SEGUNDO (2)" xfId="377"/>
    <cellStyle name="%_Liquidacion EBC-HUSARES-modoficado al 29-11_Presupuesto Base Rep Cachigaga de 30m_20090907_CHIARA_JUDITH_JOSE" xfId="378"/>
    <cellStyle name="%_Liquidacion EBC-HUSARES-modoficado al 29-11_Presupuesto Base Rep Cachigaga de 30m_20090907_URA ALTO CAIMA_JUDITH_SEGUNDO" xfId="379"/>
    <cellStyle name="%_Liquidacion EBC-HUSARES-modoficado al 29-11_Presupuesto Base Rep Cachigaga de 30m_20090928_EBC ADELA LOLI_JUDITH_VERONICA" xfId="380"/>
    <cellStyle name="%_Liquidacion EBC-HUSARES-modoficado al 29-11_Presupuesto Base Rep Cachigaga de 30m_20091120_Dalias_JUDITH_MARIANA" xfId="381"/>
    <cellStyle name="%_Liquidacion EBC-HUSARES-modoficado al 29-11_Presupuesto Base Rep Cachigaga de 30m_20100217_Jose_Evelyn_Vila Vila" xfId="382"/>
    <cellStyle name="%_Liquidacion EBC-HUSARES-modoficado al 29-11_Presupuesto Base Rep Cachigaga de 30m_ADELA LOLI" xfId="383"/>
    <cellStyle name="%_Liquidacion EBC-HUSARES-modoficado al 29-11_Presupuesto Base Rep Cachigaga de 30m_ALBARRACIN 2" xfId="384"/>
    <cellStyle name="%_Liquidacion EBC-HUSARES-modoficado al 29-11_Presupuesto Base Rep Cachigaga de 30m_ALISTE" xfId="385"/>
    <cellStyle name="%_Liquidacion EBC-HUSARES-modoficado al 29-11_Presupuesto Base Rep Cachigaga de 30m_ATALAYA" xfId="386"/>
    <cellStyle name="%_Liquidacion EBC-HUSARES-modoficado al 29-11_Presupuesto Base Rep Cachigaga de 30m_BARILOCHE" xfId="387"/>
    <cellStyle name="%_Liquidacion EBC-HUSARES-modoficado al 29-11_Presupuesto Base Rep Cachigaga de 30m_BAUTISTA  BT LIQ" xfId="388"/>
    <cellStyle name="%_Liquidacion EBC-HUSARES-modoficado al 29-11_Presupuesto Base Rep Cachigaga de 30m_bentonita y thorgel - vila vila" xfId="389"/>
    <cellStyle name="%_Liquidacion EBC-HUSARES-modoficado al 29-11_Presupuesto Base Rep Cachigaga de 30m_CANCAS" xfId="390"/>
    <cellStyle name="%_Liquidacion EBC-HUSARES-modoficado al 29-11_Presupuesto Base Rep Cachigaga de 30m_CIBELES" xfId="391"/>
    <cellStyle name="%_Liquidacion EBC-HUSARES-modoficado al 29-11_Presupuesto Base Rep Cachigaga de 30m_cob-0010 Uc_Felix Loyola 2" xfId="392"/>
    <cellStyle name="%_Liquidacion EBC-HUSARES-modoficado al 29-11_Presupuesto Base Rep Cachigaga de 30m_Cob-0103 Shilcayo_Opt" xfId="393"/>
    <cellStyle name="%_Liquidacion EBC-HUSARES-modoficado al 29-11_Presupuesto Base Rep Cachigaga de 30m_Cob-0105 Pilcocota" xfId="394"/>
    <cellStyle name="%_Liquidacion EBC-HUSARES-modoficado al 29-11_Presupuesto Base Rep Cachigaga de 30m_Copia de Preciario LATAM 2009" xfId="395"/>
    <cellStyle name="%_Liquidacion EBC-HUSARES-modoficado al 29-11_Presupuesto Base Rep Cachigaga de 30m_DURAZNOS 2 OFE" xfId="396"/>
    <cellStyle name="%_Liquidacion EBC-HUSARES-modoficado al 29-11_Presupuesto Base Rep Cachigaga de 30m_EBC AGRICULTURA - R1" xfId="397"/>
    <cellStyle name="%_Liquidacion EBC-HUSARES-modoficado al 29-11_Presupuesto Base Rep Cachigaga de 30m_EBC PICHIU" xfId="398"/>
    <cellStyle name="%_Liquidacion EBC-HUSARES-modoficado al 29-11_Presupuesto Base Rep Cachigaga de 30m_EBC TOCNOPE" xfId="399"/>
    <cellStyle name="%_Liquidacion EBC-HUSARES-modoficado al 29-11_Presupuesto Base Rep Cachigaga de 30m_ELMER" xfId="400"/>
    <cellStyle name="%_Liquidacion EBC-HUSARES-modoficado al 29-11_Presupuesto Base Rep Cachigaga de 30m_Formato de TAT" xfId="401"/>
    <cellStyle name="%_Liquidacion EBC-HUSARES-modoficado al 29-11_Presupuesto Base Rep Cachigaga de 30m_Formato Resumen-LATAM 2009-R" xfId="402"/>
    <cellStyle name="%_Liquidacion EBC-HUSARES-modoficado al 29-11_Presupuesto Base Rep Cachigaga de 30m_GAL PIZARRO" xfId="403"/>
    <cellStyle name="%_Liquidacion EBC-HUSARES-modoficado al 29-11_Presupuesto Base Rep Cachigaga de 30m_GARZAS_MIRAMAR LIQ" xfId="404"/>
    <cellStyle name="%_Liquidacion EBC-HUSARES-modoficado al 29-11_Presupuesto Base Rep Cachigaga de 30m_GELDRES LIQ" xfId="405"/>
    <cellStyle name="%_Liquidacion EBC-HUSARES-modoficado al 29-11_Presupuesto Base Rep Cachigaga de 30m_ISLA - 20090602-Atalaya-Evelyn&amp;Jose" xfId="406"/>
    <cellStyle name="%_Liquidacion EBC-HUSARES-modoficado al 29-11_Presupuesto Base Rep Cachigaga de 30m_LA TOMILLA" xfId="407"/>
    <cellStyle name="%_Liquidacion EBC-HUSARES-modoficado al 29-11_Presupuesto Base Rep Cachigaga de 30m_LIMATAMBO" xfId="408"/>
    <cellStyle name="%_Liquidacion EBC-HUSARES-modoficado al 29-11_Presupuesto Base Rep Cachigaga de 30m_Liq. Cocachacra" xfId="409"/>
    <cellStyle name="%_Liquidacion EBC-HUSARES-modoficado al 29-11_Presupuesto Base Rep Cachigaga de 30m_Liq. Guindas" xfId="410"/>
    <cellStyle name="%_Liquidacion EBC-HUSARES-modoficado al 29-11_Presupuesto Base Rep Cachigaga de 30m_LIQ. OCOBAMBA" xfId="411"/>
    <cellStyle name="%_Liquidacion EBC-HUSARES-modoficado al 29-11_Presupuesto Base Rep Cachigaga de 30m_LIQ. PACHACUTEC." xfId="412"/>
    <cellStyle name="%_Liquidacion EBC-HUSARES-modoficado al 29-11_Presupuesto Base Rep Cachigaga de 30m_LIQ. SELVA ALTO ALEGRE" xfId="413"/>
    <cellStyle name="%_Liquidacion EBC-HUSARES-modoficado al 29-11_Presupuesto Base Rep Cachigaga de 30m_LIQ. URA CIUDAD MI TRABAJO." xfId="414"/>
    <cellStyle name="%_Liquidacion EBC-HUSARES-modoficado al 29-11_Presupuesto Base Rep Cachigaga de 30m_LIQUIDACIàN  SAN JOSE DE SECCE (2)" xfId="415"/>
    <cellStyle name="%_Liquidacion EBC-HUSARES-modoficado al 29-11_Presupuesto Base Rep Cachigaga de 30m_LUCUMA OFE" xfId="416"/>
    <cellStyle name="%_Liquidacion EBC-HUSARES-modoficado al 29-11_Presupuesto Base Rep Cachigaga de 30m_materiales a pagar acarreo (2)" xfId="417"/>
    <cellStyle name="%_Liquidacion EBC-HUSARES-modoficado al 29-11_Presupuesto Base Rep Cachigaga de 30m_metrado torre 5 m" xfId="418"/>
    <cellStyle name="%_Liquidacion EBC-HUSARES-modoficado al 29-11_Presupuesto Base Rep Cachigaga de 30m_Modelo Hoja Resumen" xfId="419"/>
    <cellStyle name="%_Liquidacion EBC-HUSARES-modoficado al 29-11_Presupuesto Base Rep Cachigaga de 30m_Modelo Hoja Resumen_20090702 GABINO CHACALTANA 2-Alberto-Cesar" xfId="420"/>
    <cellStyle name="%_Liquidacion EBC-HUSARES-modoficado al 29-11_Presupuesto Base Rep Cachigaga de 30m_Modelo Hoja Resumen_20090703 URA PUNTA SAL_NEXTEL-Alberto-Cesar" xfId="421"/>
    <cellStyle name="%_Liquidacion EBC-HUSARES-modoficado al 29-11_Presupuesto Base Rep Cachigaga de 30m_Modelo Hoja Resumen_20090803 CASCANUECES-10-08" xfId="422"/>
    <cellStyle name="%_Liquidacion EBC-HUSARES-modoficado al 29-11_Presupuesto Base Rep Cachigaga de 30m_Modelo Hoja Resumen_20090903_PALLANCHACRA_JUDITH_JOSE (3)" xfId="423"/>
    <cellStyle name="%_Liquidacion EBC-HUSARES-modoficado al 29-11_Presupuesto Base Rep Cachigaga de 30m_Modelo Hoja Resumen_20090903_UC PALLANCHACRA_JUDITH_JOSE" xfId="424"/>
    <cellStyle name="%_Liquidacion EBC-HUSARES-modoficado al 29-11_Presupuesto Base Rep Cachigaga de 30m_Modelo Hoja Resumen_20090907_CHIARA_JUDITH_JOSE" xfId="425"/>
    <cellStyle name="%_Liquidacion EBC-HUSARES-modoficado al 29-11_Presupuesto Base Rep Cachigaga de 30m_Modelo Hoja Resumen_20090907_URA ALTO CAIMA_JUDITH_SEGUNDO" xfId="426"/>
    <cellStyle name="%_Liquidacion EBC-HUSARES-modoficado al 29-11_Presupuesto Base Rep Cachigaga de 30m_Modelo Hoja Resumen_20090928_EBC ADELA LOLI_JUDITH_VERONICA" xfId="427"/>
    <cellStyle name="%_Liquidacion EBC-HUSARES-modoficado al 29-11_Presupuesto Base Rep Cachigaga de 30m_Modelo Hoja Resumen_20091120_Dalias_JUDITH_MARIANA" xfId="428"/>
    <cellStyle name="%_Liquidacion EBC-HUSARES-modoficado al 29-11_Presupuesto Base Rep Cachigaga de 30m_Modelo Hoja Resumen_20100217_Jose_Evelyn_Vila Vila" xfId="429"/>
    <cellStyle name="%_Liquidacion EBC-HUSARES-modoficado al 29-11_Presupuesto Base Rep Cachigaga de 30m_Modelo Hoja Resumen_Cob-0105 Pilcocota" xfId="430"/>
    <cellStyle name="%_Liquidacion EBC-HUSARES-modoficado al 29-11_Presupuesto Base Rep Cachigaga de 30m_Modelo Hoja Resumen_Cob-0105 Pilcocota_OFE UMBE _(Ref. 20-04-11)" xfId="431"/>
    <cellStyle name="%_Liquidacion EBC-HUSARES-modoficado al 29-11_Presupuesto Base Rep Cachigaga de 30m_Modelo Hoja Resumen_Cob-0105 Pilcocota_RESUMEN DE HOJA DE OFERTA Y LIQUIDACION" xfId="432"/>
    <cellStyle name="%_Liquidacion EBC-HUSARES-modoficado al 29-11_Presupuesto Base Rep Cachigaga de 30m_Modelo Hoja Resumen_Copia de Preciario LATAM 2009" xfId="433"/>
    <cellStyle name="%_Liquidacion EBC-HUSARES-modoficado al 29-11_Presupuesto Base Rep Cachigaga de 30m_Modelo Hoja Resumen_EBC AGRICULTURA - R1" xfId="434"/>
    <cellStyle name="%_Liquidacion EBC-HUSARES-modoficado al 29-11_Presupuesto Base Rep Cachigaga de 30m_Modelo Hoja Resumen_EBC TOCNOPE" xfId="435"/>
    <cellStyle name="%_Liquidacion EBC-HUSARES-modoficado al 29-11_Presupuesto Base Rep Cachigaga de 30m_Modelo Hoja Resumen_Liq. Guindas" xfId="436"/>
    <cellStyle name="%_Liquidacion EBC-HUSARES-modoficado al 29-11_Presupuesto Base Rep Cachigaga de 30m_Modelo Hoja Resumen_LIQ. OCOBAMBA" xfId="437"/>
    <cellStyle name="%_Liquidacion EBC-HUSARES-modoficado al 29-11_Presupuesto Base Rep Cachigaga de 30m_Modelo Hoja Resumen_LIQUIDACIàN  SAN JOSE DE SECCE (2)" xfId="438"/>
    <cellStyle name="%_Liquidacion EBC-HUSARES-modoficado al 29-11_Presupuesto Base Rep Cachigaga de 30m_Modelo Hoja Resumen_MOntelima" xfId="439"/>
    <cellStyle name="%_Liquidacion EBC-HUSARES-modoficado al 29-11_Presupuesto Base Rep Cachigaga de 30m_Modelo Hoja Resumen_OFE UMBE _(Ref. 20-04-11)" xfId="440"/>
    <cellStyle name="%_Liquidacion EBC-HUSARES-modoficado al 29-11_Presupuesto Base Rep Cachigaga de 30m_Modelo Hoja Resumen_OFERTA DE GE - MONTE LOS OLIVOS - SIN TANQUES" xfId="441"/>
    <cellStyle name="%_Liquidacion EBC-HUSARES-modoficado al 29-11_Presupuesto Base Rep Cachigaga de 30m_Modelo Hoja Resumen_RESUMEN DE HOJA DE OFERTA Y LIQUIDACION" xfId="442"/>
    <cellStyle name="%_Liquidacion EBC-HUSARES-modoficado al 29-11_Presupuesto Base Rep Cachigaga de 30m_Modelo Hoja Resumen_TORRE DESMONTABLE  DE 30M" xfId="443"/>
    <cellStyle name="%_Liquidacion EBC-HUSARES-modoficado al 29-11_Presupuesto Base Rep Cachigaga de 30m_MOntelima" xfId="444"/>
    <cellStyle name="%_Liquidacion EBC-HUSARES-modoficado al 29-11_Presupuesto Base Rep Cachigaga de 30m_NUEVA IMPERIAL" xfId="445"/>
    <cellStyle name="%_Liquidacion EBC-HUSARES-modoficado al 29-11_Presupuesto Base Rep Cachigaga de 30m_NUEVO PROYECTO CUCHIPAMPA R3 - OPCION 2" xfId="446"/>
    <cellStyle name="%_Liquidacion EBC-HUSARES-modoficado al 29-11_Presupuesto Base Rep Cachigaga de 30m_OCOBAMBA" xfId="447"/>
    <cellStyle name="%_Liquidacion EBC-HUSARES-modoficado al 29-11_Presupuesto Base Rep Cachigaga de 30m_OFERTA DE GE - MONTE LOS OLIVOS - SIN TANQUES" xfId="448"/>
    <cellStyle name="%_Liquidacion EBC-HUSARES-modoficado al 29-11_Presupuesto Base Rep Cachigaga de 30m_PEDAGOGICO _NEXTEL" xfId="449"/>
    <cellStyle name="%_Liquidacion EBC-HUSARES-modoficado al 29-11_Presupuesto Base Rep Cachigaga de 30m_POZO DE LIZA_NEXTEL" xfId="450"/>
    <cellStyle name="%_Liquidacion EBC-HUSARES-modoficado al 29-11_Presupuesto Base Rep Cachigaga de 30m_Presupuesto base Caraybamba" xfId="451"/>
    <cellStyle name="%_Liquidacion EBC-HUSARES-modoficado al 29-11_Presupuesto Base Rep Cachigaga de 30m_Presupuesto base Caraybamba_20090903_PALLANCHACRA_JUDITH_JOSE (3)" xfId="452"/>
    <cellStyle name="%_Liquidacion EBC-HUSARES-modoficado al 29-11_Presupuesto Base Rep Cachigaga de 30m_Presupuesto base Caraybamba_20090903_UC PALLANCHACRA_JUDITH_JOSE" xfId="453"/>
    <cellStyle name="%_Liquidacion EBC-HUSARES-modoficado al 29-11_Presupuesto Base Rep Cachigaga de 30m_Presupuesto base Caraybamba_20090907_CHIARA_JUDITH_JOSE" xfId="454"/>
    <cellStyle name="%_Liquidacion EBC-HUSARES-modoficado al 29-11_Presupuesto Base Rep Cachigaga de 30m_Presupuesto base Caraybamba_20090907_URA ALTO CAIMA_JUDITH_SEGUNDO" xfId="455"/>
    <cellStyle name="%_Liquidacion EBC-HUSARES-modoficado al 29-11_Presupuesto Base Rep Cachigaga de 30m_Presupuesto base Caraybamba_20090928_EBC ADELA LOLI_JUDITH_VERONICA" xfId="456"/>
    <cellStyle name="%_Liquidacion EBC-HUSARES-modoficado al 29-11_Presupuesto Base Rep Cachigaga de 30m_Presupuesto base Caraybamba_20091120_Dalias_JUDITH_MARIANA" xfId="457"/>
    <cellStyle name="%_Liquidacion EBC-HUSARES-modoficado al 29-11_Presupuesto Base Rep Cachigaga de 30m_Presupuesto base Caraybamba_20100217_Jose_Evelyn_Vila Vila" xfId="458"/>
    <cellStyle name="%_Liquidacion EBC-HUSARES-modoficado al 29-11_Presupuesto Base Rep Cachigaga de 30m_Presupuesto base Caraybamba_EBC AGRICULTURA - R1" xfId="459"/>
    <cellStyle name="%_Liquidacion EBC-HUSARES-modoficado al 29-11_Presupuesto Base Rep Cachigaga de 30m_Presupuesto base Caraybamba_EBC TOCNOPE" xfId="460"/>
    <cellStyle name="%_Liquidacion EBC-HUSARES-modoficado al 29-11_Presupuesto Base Rep Cachigaga de 30m_Presupuesto base Caraybamba_Liq. Guindas" xfId="461"/>
    <cellStyle name="%_Liquidacion EBC-HUSARES-modoficado al 29-11_Presupuesto Base Rep Cachigaga de 30m_Presupuesto base Caraybamba_LIQ. OCOBAMBA" xfId="462"/>
    <cellStyle name="%_Liquidacion EBC-HUSARES-modoficado al 29-11_Presupuesto Base Rep Cachigaga de 30m_Presupuesto base Caraybamba_LIQUIDACIàN  SAN JOSE DE SECCE (2)" xfId="463"/>
    <cellStyle name="%_Liquidacion EBC-HUSARES-modoficado al 29-11_Presupuesto Base Rep Cachigaga de 30m_Presupuesto base Caraybamba_OFERTA DE GE - MONTE LOS OLIVOS - SIN TANQUES" xfId="464"/>
    <cellStyle name="%_Liquidacion EBC-HUSARES-modoficado al 29-11_Presupuesto Base Rep Cachigaga de 30m_Presupuesto base Oropesa" xfId="465"/>
    <cellStyle name="%_Liquidacion EBC-HUSARES-modoficado al 29-11_Presupuesto Base Rep Cachigaga de 30m_Presupuesto base Pachaconas" xfId="466"/>
    <cellStyle name="%_Liquidacion EBC-HUSARES-modoficado al 29-11_Presupuesto Base Rep Cachigaga de 30m_Presupuesto base Pachaconas_Copia de Preciario LATAM 2009" xfId="467"/>
    <cellStyle name="%_Liquidacion EBC-HUSARES-modoficado al 29-11_Presupuesto Base Rep Cachigaga de 30m_TRES ARCOS " xfId="468"/>
    <cellStyle name="%_Liquidacion EBC-HUSARES-modoficado al 29-11_Presupuesto Base Rep Cachigaga de 30m_TRES ARCOS-Revision 2 " xfId="469"/>
    <cellStyle name="%_Liquidacion EBC-HUSARES-modoficado al 29-11_Presupuesto Base Rep Cachigaga de 30m_UC MEDRANO - presupuesto 260609" xfId="470"/>
    <cellStyle name="%_Liquidacion EBC-HUSARES-modoficado al 29-11_Presupuesto Base Rep Cachigaga de 30m_UC MEDRANO - presupuesto 260609_20090903_PALLANCHACRA_JUDITH_JOSE (3)" xfId="471"/>
    <cellStyle name="%_Liquidacion EBC-HUSARES-modoficado al 29-11_Presupuesto Base Rep Cachigaga de 30m_UC MEDRANO - presupuesto 260609_20090903_UC PALLANCHACRA_JUDITH_JOSE" xfId="472"/>
    <cellStyle name="%_Liquidacion EBC-HUSARES-modoficado al 29-11_Presupuesto Base Rep Cachigaga de 30m_UC MEDRANO - presupuesto 260609_20090907_CHIARA_JUDITH_JOSE" xfId="473"/>
    <cellStyle name="%_Liquidacion EBC-HUSARES-modoficado al 29-11_Presupuesto Base Rep Cachigaga de 30m_UC MEDRANO - presupuesto 260609_20090907_URA ALTO CAIMA_JUDITH_SEGUNDO" xfId="474"/>
    <cellStyle name="%_Liquidacion EBC-HUSARES-modoficado al 29-11_Presupuesto Base Rep Cachigaga de 30m_UC MEDRANO - presupuesto 260609_20090928_EBC ADELA LOLI_JUDITH_VERONICA" xfId="475"/>
    <cellStyle name="%_Liquidacion EBC-HUSARES-modoficado al 29-11_Presupuesto Base Rep Cachigaga de 30m_UC MEDRANO - presupuesto 260609_20091120_Dalias_JUDITH_MARIANA" xfId="476"/>
    <cellStyle name="%_Liquidacion EBC-HUSARES-modoficado al 29-11_Presupuesto Base Rep Cachigaga de 30m_UC MEDRANO - presupuesto 260609_20100217_Jose_Evelyn_Vila Vila" xfId="477"/>
    <cellStyle name="%_Liquidacion EBC-HUSARES-modoficado al 29-11_Presupuesto Base Rep Cachigaga de 30m_UC MEDRANO - presupuesto 260609_EBC AGRICULTURA - R1" xfId="478"/>
    <cellStyle name="%_Liquidacion EBC-HUSARES-modoficado al 29-11_Presupuesto Base Rep Cachigaga de 30m_UC MEDRANO - presupuesto 260609_EBC TOCNOPE" xfId="479"/>
    <cellStyle name="%_Liquidacion EBC-HUSARES-modoficado al 29-11_Presupuesto Base Rep Cachigaga de 30m_UC MEDRANO - presupuesto 260609_Liq. Guindas" xfId="480"/>
    <cellStyle name="%_Liquidacion EBC-HUSARES-modoficado al 29-11_Presupuesto Base Rep Cachigaga de 30m_UC MEDRANO - presupuesto 260609_LIQ. OCOBAMBA" xfId="481"/>
    <cellStyle name="%_Liquidacion EBC-HUSARES-modoficado al 29-11_Presupuesto Base Rep Cachigaga de 30m_UC MEDRANO - presupuesto 260609_LIQUIDACIàN  SAN JOSE DE SECCE (2)" xfId="482"/>
    <cellStyle name="%_Liquidacion EBC-HUSARES-modoficado al 29-11_Presupuesto Base Rep Cachigaga de 30m_UC MEDRANO - presupuesto 260609_OFERTA DE GE - MONTE LOS OLIVOS - SIN TANQUES" xfId="483"/>
    <cellStyle name="%_Liquidacion EBC-HUSARES-modoficado al 29-11_Presupuesto Base Rep Cachigaga de 30m_UC YANACA - presupuesto 020709" xfId="484"/>
    <cellStyle name="%_Liquidacion EBC-HUSARES-modoficado al 29-11_Presupuesto Base Rep Cachigaga de 30m_UC_CARAYBAMBA" xfId="485"/>
    <cellStyle name="%_Liquidacion EBC-HUSARES-modoficado al 29-11_Presupuesto Base Rep Cachigaga de 30m_UC_OROPESA" xfId="486"/>
    <cellStyle name="%_Liquidacion EBC-HUSARES-modoficado al 29-11_Presupuesto Base Rep Cachigaga de 30m_URA ALTO CAYMA" xfId="487"/>
    <cellStyle name="%_Liquidacion EBC-HUSARES-modoficado al 29-11_Presupuesto Base Rep Cachigaga de 30m_URA CIUDAD BLANCA." xfId="488"/>
    <cellStyle name="%_Liquidacion EBC-HUSARES-modoficado al 29-11_Presupuesto Base Rep Cachigaga de 30m_URA GRAU" xfId="489"/>
    <cellStyle name="%_Liquidacion EBC-HUSARES-modoficado al 29-11_Presupuesto Base Rep Cachigaga de 30m_URA GRAU_Cob-0105 Pilcocota" xfId="490"/>
    <cellStyle name="%_Liquidacion EBC-HUSARES-modoficado al 29-11_Presupuesto Base Rep Cachigaga de 30m_URA GRAU_Cob-0105 Pilcocota_OFE UMBE _(Ref. 20-04-11)" xfId="491"/>
    <cellStyle name="%_Liquidacion EBC-HUSARES-modoficado al 29-11_Presupuesto Base Rep Cachigaga de 30m_URA GRAU_Cob-0105 Pilcocota_RESUMEN DE HOJA DE OFERTA Y LIQUIDACION" xfId="492"/>
    <cellStyle name="%_Liquidacion EBC-HUSARES-modoficado al 29-11_Presupuesto Base Rep Cachigaga de 30m_URA GRAU_MOntelima" xfId="493"/>
    <cellStyle name="%_Liquidacion EBC-HUSARES-modoficado al 29-11_Presupuesto Base Rep Cachigaga de 30m_URA GRAU_OFE UMBE _(Ref. 20-04-11)" xfId="494"/>
    <cellStyle name="%_Liquidacion EBC-HUSARES-modoficado al 29-11_Presupuesto Base Rep Cachigaga de 30m_URA GRAU_RESUMEN DE HOJA DE OFERTA Y LIQUIDACION" xfId="495"/>
    <cellStyle name="%_Liquidacion EBC-HUSARES-modoficado al 29-11_Rep Choloque 30m - II" xfId="496"/>
    <cellStyle name="%_Liquidacion EBC-HUSARES-modoficado al 29-11_Rep Choloque 30m - II_20090928_EBC ADELA LOLI_JUDITH_VERONICA" xfId="497"/>
    <cellStyle name="%_Liquidacion EBC-HUSARES-modoficado al 29-11_Rep Choloque 30m - II_Cob-0105 Pilcocota" xfId="498"/>
    <cellStyle name="%_Liquidacion EBC-HUSARES-modoficado al 29-11_Rep Choloque 30m - II_Cob-0105 Pilcocota_OFE UMBE _(Ref. 20-04-11)" xfId="499"/>
    <cellStyle name="%_Liquidacion EBC-HUSARES-modoficado al 29-11_Rep Choloque 30m - II_Cob-0105 Pilcocota_RESUMEN DE HOJA DE OFERTA Y LIQUIDACION" xfId="500"/>
    <cellStyle name="%_Liquidacion EBC-HUSARES-modoficado al 29-11_Rep Choloque 30m - II_EBC TOCNOPE" xfId="501"/>
    <cellStyle name="%_Liquidacion EBC-HUSARES-modoficado al 29-11_Rep Choloque 30m - II_MOntelima" xfId="502"/>
    <cellStyle name="%_Liquidacion EBC-HUSARES-modoficado al 29-11_Rep Choloque 30m - II_OFE UMBE _(Ref. 20-04-11)" xfId="503"/>
    <cellStyle name="%_Liquidacion EBC-HUSARES-modoficado al 29-11_Rep Choloque 30m - II_OFERTA DE GE - MONTE LOS OLIVOS - SIN TANQUES" xfId="504"/>
    <cellStyle name="%_Liquidacion EBC-HUSARES-modoficado al 29-11_Rep Choloque 30m - II_RESUMEN DE HOJA DE OFERTA Y LIQUIDACION" xfId="505"/>
    <cellStyle name="%_LIQUIDAION DE OBRA SANTIBAÑEZ-MODIFICADO AL 29-11" xfId="506"/>
    <cellStyle name="%_LIQUIDAION DE OBRA SANTIBAÑEZ-MODIFICADO AL 29-11_Hoja Resumen Con Firmas" xfId="507"/>
    <cellStyle name="%_LIQUIDAION DE OBRA SANTIBAÑEZ-MODIFICADO AL 29-11_Hoja Resumen Con Firmas_20090928_EBC ADELA LOLI_JUDITH_VERONICA" xfId="508"/>
    <cellStyle name="%_LIQUIDAION DE OBRA SANTIBAÑEZ-MODIFICADO AL 29-11_Hoja Resumen Con Firmas_Cob-0105 Pilcocota" xfId="509"/>
    <cellStyle name="%_LIQUIDAION DE OBRA SANTIBAÑEZ-MODIFICADO AL 29-11_Hoja Resumen Con Firmas_Cob-0105 Pilcocota_OFE UMBE _(Ref. 20-04-11)" xfId="510"/>
    <cellStyle name="%_LIQUIDAION DE OBRA SANTIBAÑEZ-MODIFICADO AL 29-11_Hoja Resumen Con Firmas_Cob-0105 Pilcocota_RESUMEN DE HOJA DE OFERTA Y LIQUIDACION" xfId="511"/>
    <cellStyle name="%_LIQUIDAION DE OBRA SANTIBAÑEZ-MODIFICADO AL 29-11_Hoja Resumen Con Firmas_EBC TOCNOPE" xfId="512"/>
    <cellStyle name="%_LIQUIDAION DE OBRA SANTIBAÑEZ-MODIFICADO AL 29-11_Hoja Resumen Con Firmas_MOntelima" xfId="513"/>
    <cellStyle name="%_LIQUIDAION DE OBRA SANTIBAÑEZ-MODIFICADO AL 29-11_Hoja Resumen Con Firmas_OFE UMBE _(Ref. 20-04-11)" xfId="514"/>
    <cellStyle name="%_LIQUIDAION DE OBRA SANTIBAÑEZ-MODIFICADO AL 29-11_Hoja Resumen Con Firmas_OFERTA DE GE - MONTE LOS OLIVOS - SIN TANQUES" xfId="515"/>
    <cellStyle name="%_LIQUIDAION DE OBRA SANTIBAÑEZ-MODIFICADO AL 29-11_Hoja Resumen Con Firmas_RESUMEN DE HOJA DE OFERTA Y LIQUIDACION" xfId="516"/>
    <cellStyle name="%_LIQUIDAION DE OBRA SANTIBAÑEZ-MODIFICADO AL 29-11_Rep Choloque 30m - II" xfId="517"/>
    <cellStyle name="%_LIQUIDAION DE OBRA SANTIBAÑEZ-MODIFICADO AL 29-11_Rep Choloque 30m - II_20090928_EBC ADELA LOLI_JUDITH_VERONICA" xfId="518"/>
    <cellStyle name="%_LIQUIDAION DE OBRA SANTIBAÑEZ-MODIFICADO AL 29-11_Rep Choloque 30m - II_Cob-0105 Pilcocota" xfId="519"/>
    <cellStyle name="%_LIQUIDAION DE OBRA SANTIBAÑEZ-MODIFICADO AL 29-11_Rep Choloque 30m - II_Cob-0105 Pilcocota_OFE UMBE _(Ref. 20-04-11)" xfId="520"/>
    <cellStyle name="%_LIQUIDAION DE OBRA SANTIBAÑEZ-MODIFICADO AL 29-11_Rep Choloque 30m - II_Cob-0105 Pilcocota_RESUMEN DE HOJA DE OFERTA Y LIQUIDACION" xfId="521"/>
    <cellStyle name="%_LIQUIDAION DE OBRA SANTIBAÑEZ-MODIFICADO AL 29-11_Rep Choloque 30m - II_EBC TOCNOPE" xfId="522"/>
    <cellStyle name="%_LIQUIDAION DE OBRA SANTIBAÑEZ-MODIFICADO AL 29-11_Rep Choloque 30m - II_MOntelima" xfId="523"/>
    <cellStyle name="%_LIQUIDAION DE OBRA SANTIBAÑEZ-MODIFICADO AL 29-11_Rep Choloque 30m - II_OFE UMBE _(Ref. 20-04-11)" xfId="524"/>
    <cellStyle name="%_LIQUIDAION DE OBRA SANTIBAÑEZ-MODIFICADO AL 29-11_Rep Choloque 30m - II_OFERTA DE GE - MONTE LOS OLIVOS - SIN TANQUES" xfId="525"/>
    <cellStyle name="%_LIQUIDAION DE OBRA SANTIBAÑEZ-MODIFICADO AL 29-11_Rep Choloque 30m - II_RESUMEN DE HOJA DE OFERTA Y LIQUIDACION" xfId="526"/>
    <cellStyle name="%_LPU 2009" xfId="527"/>
    <cellStyle name="%_METRADO- FORMATO ERICSSON ARTURO" xfId="528"/>
    <cellStyle name="%_METRADO- FORMATO ERICSSON ARTURO_Hoja Resumen Con Firmas" xfId="529"/>
    <cellStyle name="%_METRADO- FORMATO ERICSSON ARTURO_Hoja Resumen Con Firmas_20090928_EBC ADELA LOLI_JUDITH_VERONICA" xfId="530"/>
    <cellStyle name="%_METRADO- FORMATO ERICSSON ARTURO_Hoja Resumen Con Firmas_Cob-0105 Pilcocota" xfId="531"/>
    <cellStyle name="%_METRADO- FORMATO ERICSSON ARTURO_Hoja Resumen Con Firmas_Cob-0105 Pilcocota_OFE UMBE _(Ref. 20-04-11)" xfId="532"/>
    <cellStyle name="%_METRADO- FORMATO ERICSSON ARTURO_Hoja Resumen Con Firmas_Cob-0105 Pilcocota_RESUMEN DE HOJA DE OFERTA Y LIQUIDACION" xfId="533"/>
    <cellStyle name="%_METRADO- FORMATO ERICSSON ARTURO_Hoja Resumen Con Firmas_EBC TOCNOPE" xfId="534"/>
    <cellStyle name="%_METRADO- FORMATO ERICSSON ARTURO_Hoja Resumen Con Firmas_MOntelima" xfId="535"/>
    <cellStyle name="%_METRADO- FORMATO ERICSSON ARTURO_Hoja Resumen Con Firmas_OFE UMBE _(Ref. 20-04-11)" xfId="536"/>
    <cellStyle name="%_METRADO- FORMATO ERICSSON ARTURO_Hoja Resumen Con Firmas_OFERTA DE GE - MONTE LOS OLIVOS - SIN TANQUES" xfId="537"/>
    <cellStyle name="%_METRADO- FORMATO ERICSSON ARTURO_Hoja Resumen Con Firmas_RESUMEN DE HOJA DE OFERTA Y LIQUIDACION" xfId="538"/>
    <cellStyle name="%_METRADO- FORMATO ERICSSON ARTURO_Rep Choloque 30m - II" xfId="539"/>
    <cellStyle name="%_METRADO- FORMATO ERICSSON ARTURO_Rep Choloque 30m - II_20090928_EBC ADELA LOLI_JUDITH_VERONICA" xfId="540"/>
    <cellStyle name="%_METRADO- FORMATO ERICSSON ARTURO_Rep Choloque 30m - II_Cob-0105 Pilcocota" xfId="541"/>
    <cellStyle name="%_METRADO- FORMATO ERICSSON ARTURO_Rep Choloque 30m - II_Cob-0105 Pilcocota_OFE UMBE _(Ref. 20-04-11)" xfId="542"/>
    <cellStyle name="%_METRADO- FORMATO ERICSSON ARTURO_Rep Choloque 30m - II_Cob-0105 Pilcocota_RESUMEN DE HOJA DE OFERTA Y LIQUIDACION" xfId="543"/>
    <cellStyle name="%_METRADO- FORMATO ERICSSON ARTURO_Rep Choloque 30m - II_EBC TOCNOPE" xfId="544"/>
    <cellStyle name="%_METRADO- FORMATO ERICSSON ARTURO_Rep Choloque 30m - II_MOntelima" xfId="545"/>
    <cellStyle name="%_METRADO- FORMATO ERICSSON ARTURO_Rep Choloque 30m - II_OFE UMBE _(Ref. 20-04-11)" xfId="546"/>
    <cellStyle name="%_METRADO- FORMATO ERICSSON ARTURO_Rep Choloque 30m - II_OFERTA DE GE - MONTE LOS OLIVOS - SIN TANQUES" xfId="547"/>
    <cellStyle name="%_METRADO- FORMATO ERICSSON ARTURO_Rep Choloque 30m - II_RESUMEN DE HOJA DE OFERTA Y LIQUIDACION" xfId="548"/>
    <cellStyle name="%_METRADOS EBC" xfId="549"/>
    <cellStyle name="%_METRADOS EBC_Hoja Resumen Con Firmas" xfId="550"/>
    <cellStyle name="%_METRADOS EBC_Hoja Resumen Con Firmas_20090928_EBC ADELA LOLI_JUDITH_VERONICA" xfId="551"/>
    <cellStyle name="%_METRADOS EBC_Hoja Resumen Con Firmas_Cob-0105 Pilcocota" xfId="552"/>
    <cellStyle name="%_METRADOS EBC_Hoja Resumen Con Firmas_Cob-0105 Pilcocota_OFE UMBE _(Ref. 20-04-11)" xfId="553"/>
    <cellStyle name="%_METRADOS EBC_Hoja Resumen Con Firmas_Cob-0105 Pilcocota_RESUMEN DE HOJA DE OFERTA Y LIQUIDACION" xfId="554"/>
    <cellStyle name="%_METRADOS EBC_Hoja Resumen Con Firmas_EBC TOCNOPE" xfId="555"/>
    <cellStyle name="%_METRADOS EBC_Hoja Resumen Con Firmas_MOntelima" xfId="556"/>
    <cellStyle name="%_METRADOS EBC_Hoja Resumen Con Firmas_OFE UMBE _(Ref. 20-04-11)" xfId="557"/>
    <cellStyle name="%_METRADOS EBC_Hoja Resumen Con Firmas_OFERTA DE GE - MONTE LOS OLIVOS - SIN TANQUES" xfId="558"/>
    <cellStyle name="%_METRADOS EBC_Hoja Resumen Con Firmas_RESUMEN DE HOJA DE OFERTA Y LIQUIDACION" xfId="559"/>
    <cellStyle name="%_METRADOS EBC_Rep Choloque 30m - II" xfId="560"/>
    <cellStyle name="%_METRADOS EBC_Rep Choloque 30m - II_20090928_EBC ADELA LOLI_JUDITH_VERONICA" xfId="561"/>
    <cellStyle name="%_METRADOS EBC_Rep Choloque 30m - II_Cob-0105 Pilcocota" xfId="562"/>
    <cellStyle name="%_METRADOS EBC_Rep Choloque 30m - II_Cob-0105 Pilcocota_OFE UMBE _(Ref. 20-04-11)" xfId="563"/>
    <cellStyle name="%_METRADOS EBC_Rep Choloque 30m - II_Cob-0105 Pilcocota_RESUMEN DE HOJA DE OFERTA Y LIQUIDACION" xfId="564"/>
    <cellStyle name="%_METRADOS EBC_Rep Choloque 30m - II_EBC TOCNOPE" xfId="565"/>
    <cellStyle name="%_METRADOS EBC_Rep Choloque 30m - II_MOntelima" xfId="566"/>
    <cellStyle name="%_METRADOS EBC_Rep Choloque 30m - II_OFE UMBE _(Ref. 20-04-11)" xfId="567"/>
    <cellStyle name="%_METRADOS EBC_Rep Choloque 30m - II_OFERTA DE GE - MONTE LOS OLIVOS - SIN TANQUES" xfId="568"/>
    <cellStyle name="%_METRADOS EBC_Rep Choloque 30m - II_RESUMEN DE HOJA DE OFERTA Y LIQUIDACION" xfId="569"/>
    <cellStyle name="%_MODELO DE PRESUPUESTO - GREENFIELD TORRE 54M" xfId="570"/>
    <cellStyle name="%_MODELO DE PRESUPUESTO - GREENFIELD TORRE 54M_Hoja Resumen Con Firmas" xfId="571"/>
    <cellStyle name="%_MODELO DE PRESUPUESTO - GREENFIELD TORRE 54M_Hoja Resumen Con Firmas_20090928_EBC ADELA LOLI_JUDITH_VERONICA" xfId="572"/>
    <cellStyle name="%_MODELO DE PRESUPUESTO - GREENFIELD TORRE 54M_Hoja Resumen Con Firmas_Cob-0105 Pilcocota" xfId="573"/>
    <cellStyle name="%_MODELO DE PRESUPUESTO - GREENFIELD TORRE 54M_Hoja Resumen Con Firmas_Cob-0105 Pilcocota_OFE UMBE _(Ref. 20-04-11)" xfId="574"/>
    <cellStyle name="%_MODELO DE PRESUPUESTO - GREENFIELD TORRE 54M_Hoja Resumen Con Firmas_Cob-0105 Pilcocota_RESUMEN DE HOJA DE OFERTA Y LIQUIDACION" xfId="575"/>
    <cellStyle name="%_MODELO DE PRESUPUESTO - GREENFIELD TORRE 54M_Hoja Resumen Con Firmas_EBC TOCNOPE" xfId="576"/>
    <cellStyle name="%_MODELO DE PRESUPUESTO - GREENFIELD TORRE 54M_Hoja Resumen Con Firmas_MOntelima" xfId="577"/>
    <cellStyle name="%_MODELO DE PRESUPUESTO - GREENFIELD TORRE 54M_Hoja Resumen Con Firmas_OFE UMBE _(Ref. 20-04-11)" xfId="578"/>
    <cellStyle name="%_MODELO DE PRESUPUESTO - GREENFIELD TORRE 54M_Hoja Resumen Con Firmas_OFERTA DE GE - MONTE LOS OLIVOS - SIN TANQUES" xfId="579"/>
    <cellStyle name="%_MODELO DE PRESUPUESTO - GREENFIELD TORRE 54M_Hoja Resumen Con Firmas_RESUMEN DE HOJA DE OFERTA Y LIQUIDACION" xfId="580"/>
    <cellStyle name="%_MODELO DE PRESUPUESTO - GREENFIELD TORRE 54M_Rep Choloque 30m - II" xfId="581"/>
    <cellStyle name="%_MODELO DE PRESUPUESTO - GREENFIELD TORRE 54M_Rep Choloque 30m - II_20090928_EBC ADELA LOLI_JUDITH_VERONICA" xfId="582"/>
    <cellStyle name="%_MODELO DE PRESUPUESTO - GREENFIELD TORRE 54M_Rep Choloque 30m - II_Cob-0105 Pilcocota" xfId="583"/>
    <cellStyle name="%_MODELO DE PRESUPUESTO - GREENFIELD TORRE 54M_Rep Choloque 30m - II_Cob-0105 Pilcocota_OFE UMBE _(Ref. 20-04-11)" xfId="584"/>
    <cellStyle name="%_MODELO DE PRESUPUESTO - GREENFIELD TORRE 54M_Rep Choloque 30m - II_Cob-0105 Pilcocota_RESUMEN DE HOJA DE OFERTA Y LIQUIDACION" xfId="585"/>
    <cellStyle name="%_MODELO DE PRESUPUESTO - GREENFIELD TORRE 54M_Rep Choloque 30m - II_EBC TOCNOPE" xfId="586"/>
    <cellStyle name="%_MODELO DE PRESUPUESTO - GREENFIELD TORRE 54M_Rep Choloque 30m - II_MOntelima" xfId="587"/>
    <cellStyle name="%_MODELO DE PRESUPUESTO - GREENFIELD TORRE 54M_Rep Choloque 30m - II_OFE UMBE _(Ref. 20-04-11)" xfId="588"/>
    <cellStyle name="%_MODELO DE PRESUPUESTO - GREENFIELD TORRE 54M_Rep Choloque 30m - II_OFERTA DE GE - MONTE LOS OLIVOS - SIN TANQUES" xfId="589"/>
    <cellStyle name="%_MODELO DE PRESUPUESTO - GREENFIELD TORRE 54M_Rep Choloque 30m - II_RESUMEN DE HOJA DE OFERTA Y LIQUIDACION" xfId="590"/>
    <cellStyle name="%_MOntelima" xfId="591"/>
    <cellStyle name="%_NUEVA PLANILLA BASE DE COTIZACION PACKS v23abril" xfId="592"/>
    <cellStyle name="%_OFE UMBE _(Ref. 20-04-11)" xfId="593"/>
    <cellStyle name="%_OFERTA DE GE - MONTE LOS OLIVOS - SIN TANQUES" xfId="594"/>
    <cellStyle name="%_OFERTA_CURVA" xfId="595"/>
    <cellStyle name="%_Packs OA revisión Claudia 2007 to 2008-19.05.08" xfId="596"/>
    <cellStyle name="%_Paquetes OE Telefonica 25-Enero 2010 (con costos) 03-feb v2" xfId="597"/>
    <cellStyle name="%_Paquetes propuestos a TEM PI 2009" xfId="598"/>
    <cellStyle name="%_PEG-08-06-019-00_InstalacionRadioEnlacesGuadalajara" xfId="599"/>
    <cellStyle name="%_PES0S para acarreo" xfId="600"/>
    <cellStyle name="%_PES0S para acarreo_20090928_EBC ADELA LOLI_JUDITH_VERONICA" xfId="601"/>
    <cellStyle name="%_PES0S para acarreo_Cob-0105 Pilcocota" xfId="602"/>
    <cellStyle name="%_PES0S para acarreo_Cob-0105 Pilcocota_OFE UMBE _(Ref. 20-04-11)" xfId="603"/>
    <cellStyle name="%_PES0S para acarreo_Cob-0105 Pilcocota_RESUMEN DE HOJA DE OFERTA Y LIQUIDACION" xfId="604"/>
    <cellStyle name="%_PES0S para acarreo_EBC TOCNOPE" xfId="605"/>
    <cellStyle name="%_PES0S para acarreo_MOntelima" xfId="606"/>
    <cellStyle name="%_PES0S para acarreo_OFE UMBE _(Ref. 20-04-11)" xfId="607"/>
    <cellStyle name="%_PES0S para acarreo_OFERTA DE GE - MONTE LOS OLIVOS - SIN TANQUES" xfId="608"/>
    <cellStyle name="%_PES0S para acarreo_RESUMEN DE HOJA DE OFERTA Y LIQUIDACION" xfId="609"/>
    <cellStyle name="%_Planilla  Coeficientes y Packs" xfId="610"/>
    <cellStyle name="%_Planilla  Coeficientes y Packs 2" xfId="611"/>
    <cellStyle name="%_Planilla  Coeficientes y Packs 3" xfId="612"/>
    <cellStyle name="%_Planilla  Coeficientes y Packs_1.-ALBARRACIN 2" xfId="613"/>
    <cellStyle name="%_Planilla  Coeficientes y Packs_20090514-DURAZNOS 2-Diana&amp;Jose-R1" xfId="614"/>
    <cellStyle name="%_Planilla  Coeficientes y Packs_20090624 Felix Loyola 2-Alberto-Evelyn" xfId="615"/>
    <cellStyle name="%_Planilla  Coeficientes y Packs_20090624 Felix Loyola 2-Alberto-Evelyn-R" xfId="616"/>
    <cellStyle name="%_Planilla  Coeficientes y Packs_20090702 GABINO CHACALTANA 2-Alberto-Cesar" xfId="617"/>
    <cellStyle name="%_Planilla  Coeficientes y Packs_20090703 ferrocarril-Alberto-Evelyn (2)" xfId="618"/>
    <cellStyle name="%_Planilla  Coeficientes y Packs_20090703 URA PUNTA SAL_NEXTEL-Alberto-Cesar" xfId="619"/>
    <cellStyle name="%_Planilla  Coeficientes y Packs_20090708 UC_YANACA-R" xfId="620"/>
    <cellStyle name="%_Planilla  Coeficientes y Packs_20090716-AYARSA-ECELYNJOSE_final tm" xfId="621"/>
    <cellStyle name="%_Planilla  Coeficientes y Packs_20090803 CASCANUECES-10-08" xfId="622"/>
    <cellStyle name="%_Planilla  Coeficientes y Packs_20090903_PALLANCHACRA_JUDITH_JOSE (3)" xfId="623"/>
    <cellStyle name="%_Planilla  Coeficientes y Packs_20090903_UC PALLANCHACRA_JUDITH_JOSE" xfId="624"/>
    <cellStyle name="%_Planilla  Coeficientes y Packs_20090903_UC_KAQUIABAMBA_JUDITH_SEGUNDO (2)" xfId="625"/>
    <cellStyle name="%_Planilla  Coeficientes y Packs_20090907_CHIARA_JUDITH_JOSE" xfId="626"/>
    <cellStyle name="%_Planilla  Coeficientes y Packs_20090907_URA ALTO CAIMA_JUDITH_SEGUNDO" xfId="627"/>
    <cellStyle name="%_Planilla  Coeficientes y Packs_20090928_EBC ADELA LOLI_JUDITH_VERONICA" xfId="628"/>
    <cellStyle name="%_Planilla  Coeficientes y Packs_20091120_Dalias_JUDITH_MARIANA" xfId="629"/>
    <cellStyle name="%_Planilla  Coeficientes y Packs_20100217_Jose_Evelyn_Vila Vila" xfId="630"/>
    <cellStyle name="%_Planilla  Coeficientes y Packs_ADELA LOLI" xfId="631"/>
    <cellStyle name="%_Planilla  Coeficientes y Packs_ALBARRACIN 2" xfId="632"/>
    <cellStyle name="%_Planilla  Coeficientes y Packs_ALISTE" xfId="633"/>
    <cellStyle name="%_Planilla  Coeficientes y Packs_ATALAYA" xfId="634"/>
    <cellStyle name="%_Planilla  Coeficientes y Packs_BARILOCHE" xfId="635"/>
    <cellStyle name="%_Planilla  Coeficientes y Packs_BAUTISTA  BT LIQ" xfId="636"/>
    <cellStyle name="%_Planilla  Coeficientes y Packs_CANCAS" xfId="637"/>
    <cellStyle name="%_Planilla  Coeficientes y Packs_CIBELES" xfId="638"/>
    <cellStyle name="%_Planilla  Coeficientes y Packs_cob-0010 Uc_Felix Loyola 2" xfId="639"/>
    <cellStyle name="%_Planilla  Coeficientes y Packs_Cob-0103 Shilcayo_Opt" xfId="640"/>
    <cellStyle name="%_Planilla  Coeficientes y Packs_Cob-0105 Pilcocota" xfId="641"/>
    <cellStyle name="%_Planilla  Coeficientes y Packs_Copia de Preciario LATAM 2009" xfId="642"/>
    <cellStyle name="%_Planilla  Coeficientes y Packs_DURAZNOS 2 OFE" xfId="643"/>
    <cellStyle name="%_Planilla  Coeficientes y Packs_EBC AGRICULTURA - R1" xfId="644"/>
    <cellStyle name="%_Planilla  Coeficientes y Packs_EBC PICHIU" xfId="645"/>
    <cellStyle name="%_Planilla  Coeficientes y Packs_EBC TOCNOPE" xfId="646"/>
    <cellStyle name="%_Planilla  Coeficientes y Packs_ejemplo" xfId="647"/>
    <cellStyle name="%_Planilla  Coeficientes y Packs_ELMER" xfId="648"/>
    <cellStyle name="%_Planilla  Coeficientes y Packs_ESTRUCTURA METALICA" xfId="649"/>
    <cellStyle name="%_Planilla  Coeficientes y Packs_Formato de TAT" xfId="650"/>
    <cellStyle name="%_Planilla  Coeficientes y Packs_Formato Resumen-LATAM 2009-R" xfId="651"/>
    <cellStyle name="%_Planilla  Coeficientes y Packs_GAL PIZARRO" xfId="652"/>
    <cellStyle name="%_Planilla  Coeficientes y Packs_GARZAS_MIRAMAR LIQ" xfId="653"/>
    <cellStyle name="%_Planilla  Coeficientes y Packs_GELDRES LIQ" xfId="654"/>
    <cellStyle name="%_Planilla  Coeficientes y Packs_Hoja Resumen Con Firmas" xfId="655"/>
    <cellStyle name="%_Planilla  Coeficientes y Packs_ISLA - 20090602-Atalaya-Evelyn&amp;Jose" xfId="656"/>
    <cellStyle name="%_Planilla  Coeficientes y Packs_LA TOMILLA" xfId="657"/>
    <cellStyle name="%_Planilla  Coeficientes y Packs_LIMATAMBO" xfId="658"/>
    <cellStyle name="%_Planilla  Coeficientes y Packs_Liq. Cocachacra" xfId="659"/>
    <cellStyle name="%_Planilla  Coeficientes y Packs_Liq. Guindas" xfId="660"/>
    <cellStyle name="%_Planilla  Coeficientes y Packs_LIQ. OCOBAMBA" xfId="661"/>
    <cellStyle name="%_Planilla  Coeficientes y Packs_LIQ. PACHACUTEC." xfId="662"/>
    <cellStyle name="%_Planilla  Coeficientes y Packs_LIQ. SELVA ALTO ALEGRE" xfId="663"/>
    <cellStyle name="%_Planilla  Coeficientes y Packs_LIQ. URA CIUDAD MI TRABAJO." xfId="664"/>
    <cellStyle name="%_Planilla  Coeficientes y Packs_LIQUIDACIàN  SAN JOSE DE SECCE (2)" xfId="665"/>
    <cellStyle name="%_Planilla  Coeficientes y Packs_LUCUMA OFE" xfId="666"/>
    <cellStyle name="%_Planilla  Coeficientes y Packs_materiales a pagar acarreo (2)" xfId="667"/>
    <cellStyle name="%_Planilla  Coeficientes y Packs_metrado torre 5 m" xfId="668"/>
    <cellStyle name="%_Planilla  Coeficientes y Packs_MOntelima" xfId="669"/>
    <cellStyle name="%_Planilla  Coeficientes y Packs_NUEVA IMPERIAL" xfId="670"/>
    <cellStyle name="%_Planilla  Coeficientes y Packs_OCOBAMBA" xfId="671"/>
    <cellStyle name="%_Planilla  Coeficientes y Packs_OFERTA DE GE - MONTE LOS OLIVOS - SIN TANQUES" xfId="672"/>
    <cellStyle name="%_Planilla  Coeficientes y Packs_PACAPAUSA - TM" xfId="673"/>
    <cellStyle name="%_Planilla  Coeficientes y Packs_PEDAGOGICO _NEXTEL" xfId="674"/>
    <cellStyle name="%_Planilla  Coeficientes y Packs_POZO DE LIZA_NEXTEL" xfId="675"/>
    <cellStyle name="%_Planilla  Coeficientes y Packs_Rep Choloque 30m - II" xfId="676"/>
    <cellStyle name="%_Planilla  Coeficientes y Packs_TORRE_CUADRADA_DE_15M_SOBRE_PISO_CONFORMADA_POR_ANGULOS_validada" xfId="677"/>
    <cellStyle name="%_Planilla  Coeficientes y Packs_TRES ARCOS " xfId="678"/>
    <cellStyle name="%_Planilla  Coeficientes y Packs_TRES ARCOS-Revision 2 " xfId="679"/>
    <cellStyle name="%_Planilla  Coeficientes y Packs_UC_CARAYBAMBA" xfId="680"/>
    <cellStyle name="%_Planilla  Coeficientes y Packs_UC_OROPESA" xfId="681"/>
    <cellStyle name="%_Planilla  Coeficientes y Packs_URA ALTO CAYMA" xfId="682"/>
    <cellStyle name="%_Planilla  Coeficientes y Packs_URA CIUDAD BLANCA." xfId="683"/>
    <cellStyle name="%_PLANILLA DE COTIZACION - COEFICIENTE UNICO DE COTIZACION" xfId="684"/>
    <cellStyle name="%_PLANILLA DE COTIZACION - COEFICIENTE UNICO DE COTIZACION_ejemplo" xfId="685"/>
    <cellStyle name="%_PLANILLA DE COTIZACION - COEFICIENTE UNICO DE COTIZACION_Hoja Resumen Con Firmas" xfId="686"/>
    <cellStyle name="%_PLANILLA DE COTIZACION - COEFICIENTE UNICO DE COTIZACION_Rep Choloque 30m - II" xfId="687"/>
    <cellStyle name="%_Planilla de cotizacion Ericsson - 2008" xfId="688"/>
    <cellStyle name="%_Planilla de cotizacion Ericsson - 2008 2" xfId="689"/>
    <cellStyle name="%_Planilla de cotizacion Ericsson - 2008_1.-ALBARRACIN 2" xfId="690"/>
    <cellStyle name="%_Planilla de cotizacion Ericsson - 2008_20090514-DURAZNOS 2-Diana&amp;Jose-R1" xfId="691"/>
    <cellStyle name="%_Planilla de cotizacion Ericsson - 2008_20090624 Felix Loyola 2-Alberto-Evelyn" xfId="692"/>
    <cellStyle name="%_Planilla de cotizacion Ericsson - 2008_20090624 Felix Loyola 2-Alberto-Evelyn-R" xfId="693"/>
    <cellStyle name="%_Planilla de cotizacion Ericsson - 2008_20090702 GABINO CHACALTANA 2-Alberto-Cesar" xfId="694"/>
    <cellStyle name="%_Planilla de cotizacion Ericsson - 2008_20090703 ferrocarril-Alberto-Evelyn (2)" xfId="695"/>
    <cellStyle name="%_Planilla de cotizacion Ericsson - 2008_20090703 URA PUNTA SAL_NEXTEL-Alberto-Cesar" xfId="696"/>
    <cellStyle name="%_Planilla de cotizacion Ericsson - 2008_20090708 UC_YANACA-R" xfId="697"/>
    <cellStyle name="%_Planilla de cotizacion Ericsson - 2008_20090716-AYARSA-ECELYNJOSE_final tm" xfId="698"/>
    <cellStyle name="%_Planilla de cotizacion Ericsson - 2008_20090803 CASCANUECES-10-08" xfId="699"/>
    <cellStyle name="%_Planilla de cotizacion Ericsson - 2008_20090903_PALLANCHACRA_JUDITH_JOSE (3)" xfId="700"/>
    <cellStyle name="%_Planilla de cotizacion Ericsson - 2008_20090903_UC PALLANCHACRA_JUDITH_JOSE" xfId="701"/>
    <cellStyle name="%_Planilla de cotizacion Ericsson - 2008_20090903_UC_KAQUIABAMBA_JUDITH_SEGUNDO (2)" xfId="702"/>
    <cellStyle name="%_Planilla de cotizacion Ericsson - 2008_20090907_CHIARA_JUDITH_JOSE" xfId="703"/>
    <cellStyle name="%_Planilla de cotizacion Ericsson - 2008_20090907_URA ALTO CAIMA_JUDITH_SEGUNDO" xfId="704"/>
    <cellStyle name="%_Planilla de cotizacion Ericsson - 2008_20090928_EBC ADELA LOLI_JUDITH_VERONICA" xfId="705"/>
    <cellStyle name="%_Planilla de cotizacion Ericsson - 2008_20091120_Dalias_JUDITH_MARIANA" xfId="706"/>
    <cellStyle name="%_Planilla de cotizacion Ericsson - 2008_20100217_Jose_Evelyn_Vila Vila" xfId="707"/>
    <cellStyle name="%_Planilla de cotizacion Ericsson - 2008_ADELA LOLI" xfId="708"/>
    <cellStyle name="%_Planilla de cotizacion Ericsson - 2008_ALBARRACIN 2" xfId="709"/>
    <cellStyle name="%_Planilla de cotizacion Ericsson - 2008_ALISTE" xfId="710"/>
    <cellStyle name="%_Planilla de cotizacion Ericsson - 2008_ANAJIRE" xfId="711"/>
    <cellStyle name="%_Planilla de cotizacion Ericsson - 2008_ATALAYA" xfId="712"/>
    <cellStyle name="%_Planilla de cotizacion Ericsson - 2008_BARILOCHE" xfId="713"/>
    <cellStyle name="%_Planilla de cotizacion Ericsson - 2008_BAUTISTA  BT LIQ" xfId="714"/>
    <cellStyle name="%_Planilla de cotizacion Ericsson - 2008_bentonita y thorgel - vila vila" xfId="715"/>
    <cellStyle name="%_Planilla de cotizacion Ericsson - 2008_CANCAS" xfId="716"/>
    <cellStyle name="%_Planilla de cotizacion Ericsson - 2008_CIBELES" xfId="717"/>
    <cellStyle name="%_Planilla de cotizacion Ericsson - 2008_cob-0010 Uc_Felix Loyola 2" xfId="718"/>
    <cellStyle name="%_Planilla de cotizacion Ericsson - 2008_Cob-0103 Shilcayo_Opt" xfId="719"/>
    <cellStyle name="%_Planilla de cotizacion Ericsson - 2008_Cob-0105 Pilcocota" xfId="720"/>
    <cellStyle name="%_Planilla de cotizacion Ericsson - 2008_Copia de Preciario LATAM 2009" xfId="721"/>
    <cellStyle name="%_Planilla de cotizacion Ericsson - 2008_DURAZNOS 2 OFE" xfId="722"/>
    <cellStyle name="%_Planilla de cotizacion Ericsson - 2008_EBC AGRICULTURA - R1" xfId="723"/>
    <cellStyle name="%_Planilla de cotizacion Ericsson - 2008_EBC PICHIU" xfId="724"/>
    <cellStyle name="%_Planilla de cotizacion Ericsson - 2008_EBC TOCNOPE" xfId="725"/>
    <cellStyle name="%_Planilla de cotizacion Ericsson - 2008_ejemplo" xfId="726"/>
    <cellStyle name="%_Planilla de cotizacion Ericsson - 2008_ELMER" xfId="727"/>
    <cellStyle name="%_Planilla de cotizacion Ericsson - 2008_Formato de TAT" xfId="728"/>
    <cellStyle name="%_Planilla de cotizacion Ericsson - 2008_Formato Resumen-LATAM 2009-R" xfId="729"/>
    <cellStyle name="%_Planilla de cotizacion Ericsson - 2008_GAL PIZARRO" xfId="730"/>
    <cellStyle name="%_Planilla de cotizacion Ericsson - 2008_GARZAS_MIRAMAR LIQ" xfId="731"/>
    <cellStyle name="%_Planilla de cotizacion Ericsson - 2008_GELDRES LIQ" xfId="732"/>
    <cellStyle name="%_Planilla de cotizacion Ericsson - 2008_Hoja Resumen Con Firmas" xfId="733"/>
    <cellStyle name="%_Planilla de cotizacion Ericsson - 2008_ISLA - 20090602-Atalaya-Evelyn&amp;Jose" xfId="734"/>
    <cellStyle name="%_Planilla de cotizacion Ericsson - 2008_LA TOMILLA" xfId="735"/>
    <cellStyle name="%_Planilla de cotizacion Ericsson - 2008_LIMATAMBO" xfId="736"/>
    <cellStyle name="%_Planilla de cotizacion Ericsson - 2008_Liq. Cocachacra" xfId="737"/>
    <cellStyle name="%_Planilla de cotizacion Ericsson - 2008_Liq. Guindas" xfId="738"/>
    <cellStyle name="%_Planilla de cotizacion Ericsson - 2008_LIQ. OCOBAMBA" xfId="739"/>
    <cellStyle name="%_Planilla de cotizacion Ericsson - 2008_LIQ. PACHACUTEC." xfId="740"/>
    <cellStyle name="%_Planilla de cotizacion Ericsson - 2008_LIQ. SELVA ALTO ALEGRE" xfId="741"/>
    <cellStyle name="%_Planilla de cotizacion Ericsson - 2008_LIQ. URA CIUDAD MI TRABAJO." xfId="742"/>
    <cellStyle name="%_Planilla de cotizacion Ericsson - 2008_LIQUIDACIàN  SAN JOSE DE SECCE (2)" xfId="743"/>
    <cellStyle name="%_Planilla de cotizacion Ericsson - 2008_LUCUMA OFE" xfId="744"/>
    <cellStyle name="%_Planilla de cotizacion Ericsson - 2008_materiales a pagar acarreo (2)" xfId="745"/>
    <cellStyle name="%_Planilla de cotizacion Ericsson - 2008_metrado torre 5 m" xfId="746"/>
    <cellStyle name="%_Planilla de cotizacion Ericsson - 2008_Modelo Hoja Resumen" xfId="747"/>
    <cellStyle name="%_Planilla de cotizacion Ericsson - 2008_MOntelima" xfId="748"/>
    <cellStyle name="%_Planilla de cotizacion Ericsson - 2008_NUEVA IMPERIAL" xfId="749"/>
    <cellStyle name="%_Planilla de cotizacion Ericsson - 2008_OCOBAMBA" xfId="750"/>
    <cellStyle name="%_Planilla de cotizacion Ericsson - 2008_OFERTA DE GE - MONTE LOS OLIVOS - SIN TANQUES" xfId="751"/>
    <cellStyle name="%_Planilla de cotizacion Ericsson - 2008_PEDAGOGICO _NEXTEL" xfId="752"/>
    <cellStyle name="%_Planilla de cotizacion Ericsson - 2008_POZO DE LIZA_NEXTEL" xfId="753"/>
    <cellStyle name="%_Planilla de cotizacion Ericsson - 2008_Presupuesto BAP - Barcelona" xfId="754"/>
    <cellStyle name="%_Planilla de cotizacion Ericsson - 2008_Presupuesto BAP - Cachigaga" xfId="755"/>
    <cellStyle name="%_Planilla de cotizacion Ericsson - 2008_Presupuesto BAP - Cchehuapata" xfId="756"/>
    <cellStyle name="%_Planilla de cotizacion Ericsson - 2008_Presupuesto BAP - Pumahuasi" xfId="757"/>
    <cellStyle name="%_Planilla de cotizacion Ericsson - 2008_Presupuesto base Caraybamba" xfId="758"/>
    <cellStyle name="%_Planilla de cotizacion Ericsson - 2008_Presupuesto base Oropesa" xfId="759"/>
    <cellStyle name="%_Planilla de cotizacion Ericsson - 2008_Presupuesto base Pachaconas" xfId="760"/>
    <cellStyle name="%_Planilla de cotizacion Ericsson - 2008_Presupuesto Base Rep Cachigaga de 30m" xfId="761"/>
    <cellStyle name="%_Planilla de cotizacion Ericsson - 2008_Presupuesto Base Rep Cachigaga de 30m 2" xfId="762"/>
    <cellStyle name="%_Planilla de cotizacion Ericsson - 2008_Presupuesto Base Rep Cachigaga de 30m 2 2" xfId="763"/>
    <cellStyle name="%_Planilla de cotizacion Ericsson - 2008_Presupuesto Base Rep Cachigaga de 30m_1.-ALBARRACIN 2" xfId="764"/>
    <cellStyle name="%_Planilla de cotizacion Ericsson - 2008_Presupuesto Base Rep Cachigaga de 30m_20090514-DURAZNOS 2-Diana&amp;Jose-R1" xfId="765"/>
    <cellStyle name="%_Planilla de cotizacion Ericsson - 2008_Presupuesto Base Rep Cachigaga de 30m_20090624 Felix Loyola 2-Alberto-Evelyn" xfId="766"/>
    <cellStyle name="%_Planilla de cotizacion Ericsson - 2008_Presupuesto Base Rep Cachigaga de 30m_20090624 Felix Loyola 2-Alberto-Evelyn-R" xfId="767"/>
    <cellStyle name="%_Planilla de cotizacion Ericsson - 2008_Presupuesto Base Rep Cachigaga de 30m_20090702 GABINO CHACALTANA 2-Alberto-Cesar" xfId="768"/>
    <cellStyle name="%_Planilla de cotizacion Ericsson - 2008_Presupuesto Base Rep Cachigaga de 30m_20090703 ferrocarril-Alberto-Evelyn (2)" xfId="769"/>
    <cellStyle name="%_Planilla de cotizacion Ericsson - 2008_Presupuesto Base Rep Cachigaga de 30m_20090703 URA PUNTA SAL_NEXTEL-Alberto-Cesar" xfId="770"/>
    <cellStyle name="%_Planilla de cotizacion Ericsson - 2008_Presupuesto Base Rep Cachigaga de 30m_20090708 UC_YANACA-R" xfId="771"/>
    <cellStyle name="%_Planilla de cotizacion Ericsson - 2008_Presupuesto Base Rep Cachigaga de 30m_20090716-AYARSA-ECELYNJOSE_final tm" xfId="772"/>
    <cellStyle name="%_Planilla de cotizacion Ericsson - 2008_Presupuesto Base Rep Cachigaga de 30m_20090803 CASCANUECES-10-08" xfId="773"/>
    <cellStyle name="%_Planilla de cotizacion Ericsson - 2008_Presupuesto Base Rep Cachigaga de 30m_20090903_PALLANCHACRA_JUDITH_JOSE (3)" xfId="774"/>
    <cellStyle name="%_Planilla de cotizacion Ericsson - 2008_Presupuesto Base Rep Cachigaga de 30m_20090903_UC PALLANCHACRA_JUDITH_JOSE" xfId="775"/>
    <cellStyle name="%_Planilla de cotizacion Ericsson - 2008_Presupuesto Base Rep Cachigaga de 30m_20090903_UC_KAQUIABAMBA_JUDITH_SEGUNDO (2)" xfId="776"/>
    <cellStyle name="%_Planilla de cotizacion Ericsson - 2008_Presupuesto Base Rep Cachigaga de 30m_20090907_CHIARA_JUDITH_JOSE" xfId="777"/>
    <cellStyle name="%_Planilla de cotizacion Ericsson - 2008_Presupuesto Base Rep Cachigaga de 30m_20090907_URA ALTO CAIMA_JUDITH_SEGUNDO" xfId="778"/>
    <cellStyle name="%_Planilla de cotizacion Ericsson - 2008_Presupuesto Base Rep Cachigaga de 30m_20090928_EBC ADELA LOLI_JUDITH_VERONICA" xfId="779"/>
    <cellStyle name="%_Planilla de cotizacion Ericsson - 2008_Presupuesto Base Rep Cachigaga de 30m_20091120_Dalias_JUDITH_MARIANA" xfId="780"/>
    <cellStyle name="%_Planilla de cotizacion Ericsson - 2008_Presupuesto Base Rep Cachigaga de 30m_20100217_Jose_Evelyn_Vila Vila" xfId="781"/>
    <cellStyle name="%_Planilla de cotizacion Ericsson - 2008_Presupuesto Base Rep Cachigaga de 30m_ADELA LOLI" xfId="782"/>
    <cellStyle name="%_Planilla de cotizacion Ericsson - 2008_Presupuesto Base Rep Cachigaga de 30m_ALBARRACIN 2" xfId="783"/>
    <cellStyle name="%_Planilla de cotizacion Ericsson - 2008_Presupuesto Base Rep Cachigaga de 30m_ALISTE" xfId="784"/>
    <cellStyle name="%_Planilla de cotizacion Ericsson - 2008_Presupuesto Base Rep Cachigaga de 30m_ATALAYA" xfId="785"/>
    <cellStyle name="%_Planilla de cotizacion Ericsson - 2008_Presupuesto Base Rep Cachigaga de 30m_BARILOCHE" xfId="786"/>
    <cellStyle name="%_Planilla de cotizacion Ericsson - 2008_Presupuesto Base Rep Cachigaga de 30m_BAUTISTA  BT LIQ" xfId="787"/>
    <cellStyle name="%_Planilla de cotizacion Ericsson - 2008_Presupuesto Base Rep Cachigaga de 30m_bentonita y thorgel - vila vila" xfId="788"/>
    <cellStyle name="%_Planilla de cotizacion Ericsson - 2008_Presupuesto Base Rep Cachigaga de 30m_CANCAS" xfId="789"/>
    <cellStyle name="%_Planilla de cotizacion Ericsson - 2008_Presupuesto Base Rep Cachigaga de 30m_CIBELES" xfId="790"/>
    <cellStyle name="%_Planilla de cotizacion Ericsson - 2008_Presupuesto Base Rep Cachigaga de 30m_cob-0010 Uc_Felix Loyola 2" xfId="791"/>
    <cellStyle name="%_Planilla de cotizacion Ericsson - 2008_Presupuesto Base Rep Cachigaga de 30m_Cob-0103 Shilcayo_Opt" xfId="792"/>
    <cellStyle name="%_Planilla de cotizacion Ericsson - 2008_Presupuesto Base Rep Cachigaga de 30m_Cob-0105 Pilcocota" xfId="793"/>
    <cellStyle name="%_Planilla de cotizacion Ericsson - 2008_Presupuesto Base Rep Cachigaga de 30m_Copia de Preciario LATAM 2009" xfId="794"/>
    <cellStyle name="%_Planilla de cotizacion Ericsson - 2008_Presupuesto Base Rep Cachigaga de 30m_DURAZNOS 2 OFE" xfId="795"/>
    <cellStyle name="%_Planilla de cotizacion Ericsson - 2008_Presupuesto Base Rep Cachigaga de 30m_EBC AGRICULTURA - R1" xfId="796"/>
    <cellStyle name="%_Planilla de cotizacion Ericsson - 2008_Presupuesto Base Rep Cachigaga de 30m_EBC PICHIU" xfId="797"/>
    <cellStyle name="%_Planilla de cotizacion Ericsson - 2008_Presupuesto Base Rep Cachigaga de 30m_EBC TOCNOPE" xfId="798"/>
    <cellStyle name="%_Planilla de cotizacion Ericsson - 2008_Presupuesto Base Rep Cachigaga de 30m_ELMER" xfId="799"/>
    <cellStyle name="%_Planilla de cotizacion Ericsson - 2008_Presupuesto Base Rep Cachigaga de 30m_Formato de TAT" xfId="800"/>
    <cellStyle name="%_Planilla de cotizacion Ericsson - 2008_Presupuesto Base Rep Cachigaga de 30m_Formato Resumen-LATAM 2009-R" xfId="801"/>
    <cellStyle name="%_Planilla de cotizacion Ericsson - 2008_Presupuesto Base Rep Cachigaga de 30m_GAL PIZARRO" xfId="802"/>
    <cellStyle name="%_Planilla de cotizacion Ericsson - 2008_Presupuesto Base Rep Cachigaga de 30m_GARZAS_MIRAMAR LIQ" xfId="803"/>
    <cellStyle name="%_Planilla de cotizacion Ericsson - 2008_Presupuesto Base Rep Cachigaga de 30m_GELDRES LIQ" xfId="804"/>
    <cellStyle name="%_Planilla de cotizacion Ericsson - 2008_Presupuesto Base Rep Cachigaga de 30m_ISLA - 20090602-Atalaya-Evelyn&amp;Jose" xfId="805"/>
    <cellStyle name="%_Planilla de cotizacion Ericsson - 2008_Presupuesto Base Rep Cachigaga de 30m_LA TOMILLA" xfId="806"/>
    <cellStyle name="%_Planilla de cotizacion Ericsson - 2008_Presupuesto Base Rep Cachigaga de 30m_LIMATAMBO" xfId="807"/>
    <cellStyle name="%_Planilla de cotizacion Ericsson - 2008_Presupuesto Base Rep Cachigaga de 30m_Liq. Cocachacra" xfId="808"/>
    <cellStyle name="%_Planilla de cotizacion Ericsson - 2008_Presupuesto Base Rep Cachigaga de 30m_Liq. Guindas" xfId="809"/>
    <cellStyle name="%_Planilla de cotizacion Ericsson - 2008_Presupuesto Base Rep Cachigaga de 30m_LIQ. OCOBAMBA" xfId="810"/>
    <cellStyle name="%_Planilla de cotizacion Ericsson - 2008_Presupuesto Base Rep Cachigaga de 30m_LIQ. PACHACUTEC." xfId="811"/>
    <cellStyle name="%_Planilla de cotizacion Ericsson - 2008_Presupuesto Base Rep Cachigaga de 30m_LIQ. SELVA ALTO ALEGRE" xfId="812"/>
    <cellStyle name="%_Planilla de cotizacion Ericsson - 2008_Presupuesto Base Rep Cachigaga de 30m_LIQ. URA CIUDAD MI TRABAJO." xfId="813"/>
    <cellStyle name="%_Planilla de cotizacion Ericsson - 2008_Presupuesto Base Rep Cachigaga de 30m_LIQUIDACIàN  SAN JOSE DE SECCE (2)" xfId="814"/>
    <cellStyle name="%_Planilla de cotizacion Ericsson - 2008_Presupuesto Base Rep Cachigaga de 30m_LUCUMA OFE" xfId="815"/>
    <cellStyle name="%_Planilla de cotizacion Ericsson - 2008_Presupuesto Base Rep Cachigaga de 30m_materiales a pagar acarreo (2)" xfId="816"/>
    <cellStyle name="%_Planilla de cotizacion Ericsson - 2008_Presupuesto Base Rep Cachigaga de 30m_metrado torre 5 m" xfId="817"/>
    <cellStyle name="%_Planilla de cotizacion Ericsson - 2008_Presupuesto Base Rep Cachigaga de 30m_Modelo Hoja Resumen" xfId="818"/>
    <cellStyle name="%_Planilla de cotizacion Ericsson - 2008_Presupuesto Base Rep Cachigaga de 30m_MOntelima" xfId="819"/>
    <cellStyle name="%_Planilla de cotizacion Ericsson - 2008_Presupuesto Base Rep Cachigaga de 30m_NUEVA IMPERIAL" xfId="820"/>
    <cellStyle name="%_Planilla de cotizacion Ericsson - 2008_Presupuesto Base Rep Cachigaga de 30m_OCOBAMBA" xfId="821"/>
    <cellStyle name="%_Planilla de cotizacion Ericsson - 2008_Presupuesto Base Rep Cachigaga de 30m_OFERTA DE GE - MONTE LOS OLIVOS - SIN TANQUES" xfId="822"/>
    <cellStyle name="%_Planilla de cotizacion Ericsson - 2008_Presupuesto Base Rep Cachigaga de 30m_PEDAGOGICO _NEXTEL" xfId="823"/>
    <cellStyle name="%_Planilla de cotizacion Ericsson - 2008_Presupuesto Base Rep Cachigaga de 30m_POZO DE LIZA_NEXTEL" xfId="824"/>
    <cellStyle name="%_Planilla de cotizacion Ericsson - 2008_Presupuesto Base Rep Cachigaga de 30m_Presupuesto base Caraybamba" xfId="825"/>
    <cellStyle name="%_Planilla de cotizacion Ericsson - 2008_Presupuesto Base Rep Cachigaga de 30m_Presupuesto base Oropesa" xfId="826"/>
    <cellStyle name="%_Planilla de cotizacion Ericsson - 2008_Presupuesto Base Rep Cachigaga de 30m_Presupuesto base Pachaconas" xfId="827"/>
    <cellStyle name="%_Planilla de cotizacion Ericsson - 2008_Presupuesto Base Rep Cachigaga de 30m_TRES ARCOS " xfId="828"/>
    <cellStyle name="%_Planilla de cotizacion Ericsson - 2008_Presupuesto Base Rep Cachigaga de 30m_TRES ARCOS-Revision 2 " xfId="829"/>
    <cellStyle name="%_Planilla de cotizacion Ericsson - 2008_Presupuesto Base Rep Cachigaga de 30m_UC MEDRANO - presupuesto 260609" xfId="830"/>
    <cellStyle name="%_Planilla de cotizacion Ericsson - 2008_Presupuesto Base Rep Cachigaga de 30m_UC YANACA - presupuesto 020709" xfId="831"/>
    <cellStyle name="%_Planilla de cotizacion Ericsson - 2008_Presupuesto Base Rep Cachigaga de 30m_UC_CARAYBAMBA" xfId="832"/>
    <cellStyle name="%_Planilla de cotizacion Ericsson - 2008_Presupuesto Base Rep Cachigaga de 30m_UC_OROPESA" xfId="833"/>
    <cellStyle name="%_Planilla de cotizacion Ericsson - 2008_Presupuesto Base Rep Cachigaga de 30m_URA ALTO CAYMA" xfId="834"/>
    <cellStyle name="%_Planilla de cotizacion Ericsson - 2008_Presupuesto Base Rep Cachigaga de 30m_URA CIUDAD BLANCA." xfId="835"/>
    <cellStyle name="%_Planilla de cotizacion Ericsson - 2008_Rep Choloque 30m - II" xfId="836"/>
    <cellStyle name="%_Planilla de cotizacion Ericsson - 2008_TIERRAS BLANCAS" xfId="837"/>
    <cellStyle name="%_Planilla de cotizacion Ericsson - 2008_TRES ARCOS " xfId="838"/>
    <cellStyle name="%_Planilla de cotizacion Ericsson - 2008_TRES ARCOS-Revision 2 " xfId="839"/>
    <cellStyle name="%_Planilla de cotizacion Ericsson - 2008_UC MEDRANO - presupuesto 260609" xfId="840"/>
    <cellStyle name="%_Planilla de cotizacion Ericsson - 2008_UC YANACA - presupuesto 020709" xfId="841"/>
    <cellStyle name="%_Planilla de cotizacion Ericsson - 2008_UC_CARAYBAMBA" xfId="842"/>
    <cellStyle name="%_Planilla de cotizacion Ericsson - 2008_UC_OROPESA" xfId="843"/>
    <cellStyle name="%_Planilla de cotizacion Ericsson - 2008_URA ALTO CAYMA" xfId="844"/>
    <cellStyle name="%_Planilla de cotizacion Ericsson - 2008_URA CIUDAD BLANCA." xfId="845"/>
    <cellStyle name="%_Planilla METRADOS 2008" xfId="846"/>
    <cellStyle name="%_Planilla METRADOS 2008_ejemplo" xfId="847"/>
    <cellStyle name="%_Planilla METRADOS 2008_Rep Choloque 30m - II" xfId="848"/>
    <cellStyle name="%_PlanIntegrador Acuerdo OA COMSET_20_05_08" xfId="849"/>
    <cellStyle name="%_PRECIARIO 07-11-07" xfId="850"/>
    <cellStyle name="%_PRECIARIO 07-11-07_Hoja Resumen Con Firmas" xfId="851"/>
    <cellStyle name="%_PRECIARIO 07-11-07_Hoja Resumen Con Firmas_20090928_EBC ADELA LOLI_JUDITH_VERONICA" xfId="852"/>
    <cellStyle name="%_PRECIARIO 07-11-07_Hoja Resumen Con Firmas_Cob-0105 Pilcocota" xfId="853"/>
    <cellStyle name="%_PRECIARIO 07-11-07_Hoja Resumen Con Firmas_Cob-0105 Pilcocota_OFE UMBE _(Ref. 20-04-11)" xfId="854"/>
    <cellStyle name="%_PRECIARIO 07-11-07_Hoja Resumen Con Firmas_Cob-0105 Pilcocota_RESUMEN DE HOJA DE OFERTA Y LIQUIDACION" xfId="855"/>
    <cellStyle name="%_PRECIARIO 07-11-07_Hoja Resumen Con Firmas_EBC TOCNOPE" xfId="856"/>
    <cellStyle name="%_PRECIARIO 07-11-07_Hoja Resumen Con Firmas_MOntelima" xfId="857"/>
    <cellStyle name="%_PRECIARIO 07-11-07_Hoja Resumen Con Firmas_OFE UMBE _(Ref. 20-04-11)" xfId="858"/>
    <cellStyle name="%_PRECIARIO 07-11-07_Hoja Resumen Con Firmas_OFERTA DE GE - MONTE LOS OLIVOS - SIN TANQUES" xfId="859"/>
    <cellStyle name="%_PRECIARIO 07-11-07_Hoja Resumen Con Firmas_RESUMEN DE HOJA DE OFERTA Y LIQUIDACION" xfId="860"/>
    <cellStyle name="%_PRECIARIO 07-11-07_Rep Choloque 30m - II" xfId="861"/>
    <cellStyle name="%_PRECIARIO 07-11-07_Rep Choloque 30m - II_20090928_EBC ADELA LOLI_JUDITH_VERONICA" xfId="862"/>
    <cellStyle name="%_PRECIARIO 07-11-07_Rep Choloque 30m - II_Cob-0105 Pilcocota" xfId="863"/>
    <cellStyle name="%_PRECIARIO 07-11-07_Rep Choloque 30m - II_Cob-0105 Pilcocota_OFE UMBE _(Ref. 20-04-11)" xfId="864"/>
    <cellStyle name="%_PRECIARIO 07-11-07_Rep Choloque 30m - II_Cob-0105 Pilcocota_RESUMEN DE HOJA DE OFERTA Y LIQUIDACION" xfId="865"/>
    <cellStyle name="%_PRECIARIO 07-11-07_Rep Choloque 30m - II_EBC TOCNOPE" xfId="866"/>
    <cellStyle name="%_PRECIARIO 07-11-07_Rep Choloque 30m - II_MOntelima" xfId="867"/>
    <cellStyle name="%_PRECIARIO 07-11-07_Rep Choloque 30m - II_OFE UMBE _(Ref. 20-04-11)" xfId="868"/>
    <cellStyle name="%_PRECIARIO 07-11-07_Rep Choloque 30m - II_OFERTA DE GE - MONTE LOS OLIVOS - SIN TANQUES" xfId="869"/>
    <cellStyle name="%_PRECIARIO 07-11-07_Rep Choloque 30m - II_RESUMEN DE HOJA DE OFERTA Y LIQUIDACION" xfId="870"/>
    <cellStyle name="%_PRECIARIO AL 30-11-07" xfId="871"/>
    <cellStyle name="%_PRECIARIO AL 30-11-07_Hoja Resumen Con Firmas" xfId="872"/>
    <cellStyle name="%_PRECIARIO AL 30-11-07_Hoja Resumen Con Firmas_20090928_EBC ADELA LOLI_JUDITH_VERONICA" xfId="873"/>
    <cellStyle name="%_PRECIARIO AL 30-11-07_Hoja Resumen Con Firmas_Cob-0105 Pilcocota" xfId="874"/>
    <cellStyle name="%_PRECIARIO AL 30-11-07_Hoja Resumen Con Firmas_Cob-0105 Pilcocota_OFE UMBE _(Ref. 20-04-11)" xfId="875"/>
    <cellStyle name="%_PRECIARIO AL 30-11-07_Hoja Resumen Con Firmas_Cob-0105 Pilcocota_RESUMEN DE HOJA DE OFERTA Y LIQUIDACION" xfId="876"/>
    <cellStyle name="%_PRECIARIO AL 30-11-07_Hoja Resumen Con Firmas_EBC TOCNOPE" xfId="877"/>
    <cellStyle name="%_PRECIARIO AL 30-11-07_Hoja Resumen Con Firmas_MOntelima" xfId="878"/>
    <cellStyle name="%_PRECIARIO AL 30-11-07_Hoja Resumen Con Firmas_OFE UMBE _(Ref. 20-04-11)" xfId="879"/>
    <cellStyle name="%_PRECIARIO AL 30-11-07_Hoja Resumen Con Firmas_OFERTA DE GE - MONTE LOS OLIVOS - SIN TANQUES" xfId="880"/>
    <cellStyle name="%_PRECIARIO AL 30-11-07_Hoja Resumen Con Firmas_RESUMEN DE HOJA DE OFERTA Y LIQUIDACION" xfId="881"/>
    <cellStyle name="%_PRECIARIO AL 30-11-07_Rep Choloque 30m - II" xfId="882"/>
    <cellStyle name="%_PRECIARIO AL 30-11-07_Rep Choloque 30m - II_20090928_EBC ADELA LOLI_JUDITH_VERONICA" xfId="883"/>
    <cellStyle name="%_PRECIARIO AL 30-11-07_Rep Choloque 30m - II_Cob-0105 Pilcocota" xfId="884"/>
    <cellStyle name="%_PRECIARIO AL 30-11-07_Rep Choloque 30m - II_Cob-0105 Pilcocota_OFE UMBE _(Ref. 20-04-11)" xfId="885"/>
    <cellStyle name="%_PRECIARIO AL 30-11-07_Rep Choloque 30m - II_Cob-0105 Pilcocota_RESUMEN DE HOJA DE OFERTA Y LIQUIDACION" xfId="886"/>
    <cellStyle name="%_PRECIARIO AL 30-11-07_Rep Choloque 30m - II_EBC TOCNOPE" xfId="887"/>
    <cellStyle name="%_PRECIARIO AL 30-11-07_Rep Choloque 30m - II_MOntelima" xfId="888"/>
    <cellStyle name="%_PRECIARIO AL 30-11-07_Rep Choloque 30m - II_OFE UMBE _(Ref. 20-04-11)" xfId="889"/>
    <cellStyle name="%_PRECIARIO AL 30-11-07_Rep Choloque 30m - II_OFERTA DE GE - MONTE LOS OLIVOS - SIN TANQUES" xfId="890"/>
    <cellStyle name="%_PRECIARIO AL 30-11-07_Rep Choloque 30m - II_RESUMEN DE HOJA DE OFERTA Y LIQUIDACION" xfId="891"/>
    <cellStyle name="%_PRECIARIO CONT. VERDE - AL 18-12-07" xfId="892"/>
    <cellStyle name="%_PRECIARIO CONT. VERDE - AL 18-12-07_Hoja Resumen Con Firmas" xfId="893"/>
    <cellStyle name="%_PRECIARIO CONT. VERDE - AL 18-12-07_Hoja Resumen Con Firmas_20090928_EBC ADELA LOLI_JUDITH_VERONICA" xfId="894"/>
    <cellStyle name="%_PRECIARIO CONT. VERDE - AL 18-12-07_Hoja Resumen Con Firmas_Cob-0105 Pilcocota" xfId="895"/>
    <cellStyle name="%_PRECIARIO CONT. VERDE - AL 18-12-07_Hoja Resumen Con Firmas_Cob-0105 Pilcocota_OFE UMBE _(Ref. 20-04-11)" xfId="896"/>
    <cellStyle name="%_PRECIARIO CONT. VERDE - AL 18-12-07_Hoja Resumen Con Firmas_Cob-0105 Pilcocota_RESUMEN DE HOJA DE OFERTA Y LIQUIDACION" xfId="897"/>
    <cellStyle name="%_PRECIARIO CONT. VERDE - AL 18-12-07_Hoja Resumen Con Firmas_EBC TOCNOPE" xfId="898"/>
    <cellStyle name="%_PRECIARIO CONT. VERDE - AL 18-12-07_Hoja Resumen Con Firmas_MOntelima" xfId="899"/>
    <cellStyle name="%_PRECIARIO CONT. VERDE - AL 18-12-07_Hoja Resumen Con Firmas_OFE UMBE _(Ref. 20-04-11)" xfId="900"/>
    <cellStyle name="%_PRECIARIO CONT. VERDE - AL 18-12-07_Hoja Resumen Con Firmas_OFERTA DE GE - MONTE LOS OLIVOS - SIN TANQUES" xfId="901"/>
    <cellStyle name="%_PRECIARIO CONT. VERDE - AL 18-12-07_Hoja Resumen Con Firmas_RESUMEN DE HOJA DE OFERTA Y LIQUIDACION" xfId="902"/>
    <cellStyle name="%_PRECIARIO CONT. VERDE - AL 18-12-07_Rep Choloque 30m - II" xfId="903"/>
    <cellStyle name="%_PRECIARIO CONT. VERDE - AL 18-12-07_Rep Choloque 30m - II_20090928_EBC ADELA LOLI_JUDITH_VERONICA" xfId="904"/>
    <cellStyle name="%_PRECIARIO CONT. VERDE - AL 18-12-07_Rep Choloque 30m - II_Cob-0105 Pilcocota" xfId="905"/>
    <cellStyle name="%_PRECIARIO CONT. VERDE - AL 18-12-07_Rep Choloque 30m - II_Cob-0105 Pilcocota_OFE UMBE _(Ref. 20-04-11)" xfId="906"/>
    <cellStyle name="%_PRECIARIO CONT. VERDE - AL 18-12-07_Rep Choloque 30m - II_Cob-0105 Pilcocota_RESUMEN DE HOJA DE OFERTA Y LIQUIDACION" xfId="907"/>
    <cellStyle name="%_PRECIARIO CONT. VERDE - AL 18-12-07_Rep Choloque 30m - II_EBC TOCNOPE" xfId="908"/>
    <cellStyle name="%_PRECIARIO CONT. VERDE - AL 18-12-07_Rep Choloque 30m - II_MOntelima" xfId="909"/>
    <cellStyle name="%_PRECIARIO CONT. VERDE - AL 18-12-07_Rep Choloque 30m - II_OFE UMBE _(Ref. 20-04-11)" xfId="910"/>
    <cellStyle name="%_PRECIARIO CONT. VERDE - AL 18-12-07_Rep Choloque 30m - II_OFERTA DE GE - MONTE LOS OLIVOS - SIN TANQUES" xfId="911"/>
    <cellStyle name="%_PRECIARIO CONT. VERDE - AL 18-12-07_Rep Choloque 30m - II_RESUMEN DE HOJA DE OFERTA Y LIQUIDACION" xfId="912"/>
    <cellStyle name="%_PRECIARIO DE GENERADORES" xfId="913"/>
    <cellStyle name="%_PRECIARIO DEPURADO AL 22-12-07" xfId="914"/>
    <cellStyle name="%_PRECIARIO DEPURADO AL 22-12-07_Hoja Resumen Con Firmas" xfId="915"/>
    <cellStyle name="%_PRECIARIO DEPURADO AL 22-12-07_Hoja Resumen Con Firmas_20090928_EBC ADELA LOLI_JUDITH_VERONICA" xfId="916"/>
    <cellStyle name="%_PRECIARIO DEPURADO AL 22-12-07_Hoja Resumen Con Firmas_Cob-0105 Pilcocota" xfId="917"/>
    <cellStyle name="%_PRECIARIO DEPURADO AL 22-12-07_Hoja Resumen Con Firmas_Cob-0105 Pilcocota_OFE UMBE _(Ref. 20-04-11)" xfId="918"/>
    <cellStyle name="%_PRECIARIO DEPURADO AL 22-12-07_Hoja Resumen Con Firmas_Cob-0105 Pilcocota_RESUMEN DE HOJA DE OFERTA Y LIQUIDACION" xfId="919"/>
    <cellStyle name="%_PRECIARIO DEPURADO AL 22-12-07_Hoja Resumen Con Firmas_EBC TOCNOPE" xfId="920"/>
    <cellStyle name="%_PRECIARIO DEPURADO AL 22-12-07_Hoja Resumen Con Firmas_MOntelima" xfId="921"/>
    <cellStyle name="%_PRECIARIO DEPURADO AL 22-12-07_Hoja Resumen Con Firmas_OFE UMBE _(Ref. 20-04-11)" xfId="922"/>
    <cellStyle name="%_PRECIARIO DEPURADO AL 22-12-07_Hoja Resumen Con Firmas_OFERTA DE GE - MONTE LOS OLIVOS - SIN TANQUES" xfId="923"/>
    <cellStyle name="%_PRECIARIO DEPURADO AL 22-12-07_Hoja Resumen Con Firmas_RESUMEN DE HOJA DE OFERTA Y LIQUIDACION" xfId="924"/>
    <cellStyle name="%_PRECIARIO DEPURADO AL 22-12-07_Rep Choloque 30m - II" xfId="925"/>
    <cellStyle name="%_PRECIARIO DEPURADO AL 22-12-07_Rep Choloque 30m - II_20090928_EBC ADELA LOLI_JUDITH_VERONICA" xfId="926"/>
    <cellStyle name="%_PRECIARIO DEPURADO AL 22-12-07_Rep Choloque 30m - II_Cob-0105 Pilcocota" xfId="927"/>
    <cellStyle name="%_PRECIARIO DEPURADO AL 22-12-07_Rep Choloque 30m - II_Cob-0105 Pilcocota_OFE UMBE _(Ref. 20-04-11)" xfId="928"/>
    <cellStyle name="%_PRECIARIO DEPURADO AL 22-12-07_Rep Choloque 30m - II_Cob-0105 Pilcocota_RESUMEN DE HOJA DE OFERTA Y LIQUIDACION" xfId="929"/>
    <cellStyle name="%_PRECIARIO DEPURADO AL 22-12-07_Rep Choloque 30m - II_EBC TOCNOPE" xfId="930"/>
    <cellStyle name="%_PRECIARIO DEPURADO AL 22-12-07_Rep Choloque 30m - II_MOntelima" xfId="931"/>
    <cellStyle name="%_PRECIARIO DEPURADO AL 22-12-07_Rep Choloque 30m - II_OFE UMBE _(Ref. 20-04-11)" xfId="932"/>
    <cellStyle name="%_PRECIARIO DEPURADO AL 22-12-07_Rep Choloque 30m - II_OFERTA DE GE - MONTE LOS OLIVOS - SIN TANQUES" xfId="933"/>
    <cellStyle name="%_PRECIARIO DEPURADO AL 22-12-07_Rep Choloque 30m - II_RESUMEN DE HOJA DE OFERTA Y LIQUIDACION" xfId="934"/>
    <cellStyle name="%_Precios de recrecidos de torres 26 ene 09" xfId="935"/>
    <cellStyle name="%_Precios Torres M3 Llinea Homologadas Infracomex" xfId="936"/>
    <cellStyle name="%_Presupuesto base Fresnos V-01" xfId="937"/>
    <cellStyle name="%_Presupuesto Base Rep Cachigaga de 30m" xfId="938"/>
    <cellStyle name="%_Presupuesto Base Rep Cachigaga de 30m 2" xfId="939"/>
    <cellStyle name="%_Presupuesto Base Rep Cachigaga de 30m_1.-ALBARRACIN 2" xfId="940"/>
    <cellStyle name="%_Presupuesto Base Rep Cachigaga de 30m_20090514-DURAZNOS 2-Diana&amp;Jose-R1" xfId="941"/>
    <cellStyle name="%_Presupuesto Base Rep Cachigaga de 30m_20090609 EBC VILLA EDEN-Alberto-Oscar" xfId="942"/>
    <cellStyle name="%_Presupuesto Base Rep Cachigaga de 30m_20090609 EBC VILLA EDEN-Alberto-Oscar_Cob-0105 Pilcocota" xfId="943"/>
    <cellStyle name="%_Presupuesto Base Rep Cachigaga de 30m_20090609 EBC VILLA EDEN-Alberto-Oscar_Cob-0105 Pilcocota_OFE UMBE _(Ref. 20-04-11)" xfId="944"/>
    <cellStyle name="%_Presupuesto Base Rep Cachigaga de 30m_20090609 EBC VILLA EDEN-Alberto-Oscar_Cob-0105 Pilcocota_RESUMEN DE HOJA DE OFERTA Y LIQUIDACION" xfId="945"/>
    <cellStyle name="%_Presupuesto Base Rep Cachigaga de 30m_20090609 EBC VILLA EDEN-Alberto-Oscar_MOntelima" xfId="946"/>
    <cellStyle name="%_Presupuesto Base Rep Cachigaga de 30m_20090609 EBC VILLA EDEN-Alberto-Oscar_OFE UMBE _(Ref. 20-04-11)" xfId="947"/>
    <cellStyle name="%_Presupuesto Base Rep Cachigaga de 30m_20090609 EBC VILLA EDEN-Alberto-Oscar_RESUMEN DE HOJA DE OFERTA Y LIQUIDACION" xfId="948"/>
    <cellStyle name="%_Presupuesto Base Rep Cachigaga de 30m_20090624 Felix Loyola 2-Alberto-Evelyn" xfId="949"/>
    <cellStyle name="%_Presupuesto Base Rep Cachigaga de 30m_20090624 Felix Loyola 2-Alberto-Evelyn-R" xfId="950"/>
    <cellStyle name="%_Presupuesto Base Rep Cachigaga de 30m_20090702 GABINO CHACALTANA 2-Alberto-Cesar" xfId="951"/>
    <cellStyle name="%_Presupuesto Base Rep Cachigaga de 30m_20090703 ferrocarril-Alberto-Evelyn (2)" xfId="952"/>
    <cellStyle name="%_Presupuesto Base Rep Cachigaga de 30m_20090703 URA PUNTA SAL_NEXTEL-Alberto-Cesar" xfId="953"/>
    <cellStyle name="%_Presupuesto Base Rep Cachigaga de 30m_20090708 UC_YANACA-R" xfId="954"/>
    <cellStyle name="%_Presupuesto Base Rep Cachigaga de 30m_20090716-AYARSA-ECELYNJOSE_final tm" xfId="955"/>
    <cellStyle name="%_Presupuesto Base Rep Cachigaga de 30m_20090803 CASCANUECES-10-08" xfId="956"/>
    <cellStyle name="%_Presupuesto Base Rep Cachigaga de 30m_20090903_PALLANCHACRA_JUDITH_JOSE (3)" xfId="957"/>
    <cellStyle name="%_Presupuesto Base Rep Cachigaga de 30m_20090903_UC PALLANCHACRA_JUDITH_JOSE" xfId="958"/>
    <cellStyle name="%_Presupuesto Base Rep Cachigaga de 30m_20090903_UC_KAQUIABAMBA_JUDITH_SEGUNDO (2)" xfId="959"/>
    <cellStyle name="%_Presupuesto Base Rep Cachigaga de 30m_20090907_CHIARA_JUDITH_JOSE" xfId="960"/>
    <cellStyle name="%_Presupuesto Base Rep Cachigaga de 30m_20090907_URA ALTO CAIMA_JUDITH_SEGUNDO" xfId="961"/>
    <cellStyle name="%_Presupuesto Base Rep Cachigaga de 30m_20090928_EBC ADELA LOLI_JUDITH_VERONICA" xfId="962"/>
    <cellStyle name="%_Presupuesto Base Rep Cachigaga de 30m_20091120_Dalias_JUDITH_MARIANA" xfId="963"/>
    <cellStyle name="%_Presupuesto Base Rep Cachigaga de 30m_20100217_Jose_Evelyn_Vila Vila" xfId="964"/>
    <cellStyle name="%_Presupuesto Base Rep Cachigaga de 30m_ADELA LOLI" xfId="965"/>
    <cellStyle name="%_Presupuesto Base Rep Cachigaga de 30m_ALBARRACIN 2" xfId="966"/>
    <cellStyle name="%_Presupuesto Base Rep Cachigaga de 30m_ALISTE" xfId="967"/>
    <cellStyle name="%_Presupuesto Base Rep Cachigaga de 30m_ATALAYA" xfId="968"/>
    <cellStyle name="%_Presupuesto Base Rep Cachigaga de 30m_BARILOCHE" xfId="969"/>
    <cellStyle name="%_Presupuesto Base Rep Cachigaga de 30m_BAUTISTA  BT LIQ" xfId="970"/>
    <cellStyle name="%_Presupuesto Base Rep Cachigaga de 30m_bentonita y thorgel - vila vila" xfId="971"/>
    <cellStyle name="%_Presupuesto Base Rep Cachigaga de 30m_CANCAS" xfId="972"/>
    <cellStyle name="%_Presupuesto Base Rep Cachigaga de 30m_CIBELES" xfId="973"/>
    <cellStyle name="%_Presupuesto Base Rep Cachigaga de 30m_cob-0010 Uc_Felix Loyola 2" xfId="974"/>
    <cellStyle name="%_Presupuesto Base Rep Cachigaga de 30m_Cob-0103 Shilcayo_Opt" xfId="975"/>
    <cellStyle name="%_Presupuesto Base Rep Cachigaga de 30m_Cob-0105 Pilcocota" xfId="976"/>
    <cellStyle name="%_Presupuesto Base Rep Cachigaga de 30m_Copia de Preciario LATAM 2009" xfId="977"/>
    <cellStyle name="%_Presupuesto Base Rep Cachigaga de 30m_DURAZNOS 2 OFE" xfId="978"/>
    <cellStyle name="%_Presupuesto Base Rep Cachigaga de 30m_EBC AGRICULTURA - R1" xfId="979"/>
    <cellStyle name="%_Presupuesto Base Rep Cachigaga de 30m_EBC PICHIU" xfId="980"/>
    <cellStyle name="%_Presupuesto Base Rep Cachigaga de 30m_EBC TOCNOPE" xfId="981"/>
    <cellStyle name="%_Presupuesto Base Rep Cachigaga de 30m_ELMER" xfId="982"/>
    <cellStyle name="%_Presupuesto Base Rep Cachigaga de 30m_Formato de TAT" xfId="983"/>
    <cellStyle name="%_Presupuesto Base Rep Cachigaga de 30m_Formato Resumen-LATAM 2009-R" xfId="984"/>
    <cellStyle name="%_Presupuesto Base Rep Cachigaga de 30m_GAL PIZARRO" xfId="985"/>
    <cellStyle name="%_Presupuesto Base Rep Cachigaga de 30m_GARZAS_MIRAMAR LIQ" xfId="986"/>
    <cellStyle name="%_Presupuesto Base Rep Cachigaga de 30m_GELDRES LIQ" xfId="987"/>
    <cellStyle name="%_Presupuesto Base Rep Cachigaga de 30m_ISLA - 20090602-Atalaya-Evelyn&amp;Jose" xfId="988"/>
    <cellStyle name="%_Presupuesto Base Rep Cachigaga de 30m_LA TOMILLA" xfId="989"/>
    <cellStyle name="%_Presupuesto Base Rep Cachigaga de 30m_LIMATAMBO" xfId="990"/>
    <cellStyle name="%_Presupuesto Base Rep Cachigaga de 30m_Liq. Cocachacra" xfId="991"/>
    <cellStyle name="%_Presupuesto Base Rep Cachigaga de 30m_Liq. Guindas" xfId="992"/>
    <cellStyle name="%_Presupuesto Base Rep Cachigaga de 30m_LIQ. OCOBAMBA" xfId="993"/>
    <cellStyle name="%_Presupuesto Base Rep Cachigaga de 30m_LIQ. PACHACUTEC." xfId="994"/>
    <cellStyle name="%_Presupuesto Base Rep Cachigaga de 30m_LIQ. SELVA ALTO ALEGRE" xfId="995"/>
    <cellStyle name="%_Presupuesto Base Rep Cachigaga de 30m_LIQ. URA CIUDAD MI TRABAJO." xfId="996"/>
    <cellStyle name="%_Presupuesto Base Rep Cachigaga de 30m_LIQUIDACIàN  SAN JOSE DE SECCE (2)" xfId="997"/>
    <cellStyle name="%_Presupuesto Base Rep Cachigaga de 30m_LUCUMA OFE" xfId="998"/>
    <cellStyle name="%_Presupuesto Base Rep Cachigaga de 30m_materiales a pagar acarreo (2)" xfId="999"/>
    <cellStyle name="%_Presupuesto Base Rep Cachigaga de 30m_metrado torre 5 m" xfId="1000"/>
    <cellStyle name="%_Presupuesto Base Rep Cachigaga de 30m_Modelo Hoja Resumen" xfId="1001"/>
    <cellStyle name="%_Presupuesto Base Rep Cachigaga de 30m_Modelo Hoja Resumen_20090702 GABINO CHACALTANA 2-Alberto-Cesar" xfId="1002"/>
    <cellStyle name="%_Presupuesto Base Rep Cachigaga de 30m_Modelo Hoja Resumen_20090703 URA PUNTA SAL_NEXTEL-Alberto-Cesar" xfId="1003"/>
    <cellStyle name="%_Presupuesto Base Rep Cachigaga de 30m_Modelo Hoja Resumen_20090803 CASCANUECES-10-08" xfId="1004"/>
    <cellStyle name="%_Presupuesto Base Rep Cachigaga de 30m_Modelo Hoja Resumen_20090903_PALLANCHACRA_JUDITH_JOSE (3)" xfId="1005"/>
    <cellStyle name="%_Presupuesto Base Rep Cachigaga de 30m_Modelo Hoja Resumen_20090903_UC PALLANCHACRA_JUDITH_JOSE" xfId="1006"/>
    <cellStyle name="%_Presupuesto Base Rep Cachigaga de 30m_Modelo Hoja Resumen_20090907_CHIARA_JUDITH_JOSE" xfId="1007"/>
    <cellStyle name="%_Presupuesto Base Rep Cachigaga de 30m_Modelo Hoja Resumen_20090907_URA ALTO CAIMA_JUDITH_SEGUNDO" xfId="1008"/>
    <cellStyle name="%_Presupuesto Base Rep Cachigaga de 30m_Modelo Hoja Resumen_20090928_EBC ADELA LOLI_JUDITH_VERONICA" xfId="1009"/>
    <cellStyle name="%_Presupuesto Base Rep Cachigaga de 30m_Modelo Hoja Resumen_20091120_Dalias_JUDITH_MARIANA" xfId="1010"/>
    <cellStyle name="%_Presupuesto Base Rep Cachigaga de 30m_Modelo Hoja Resumen_20100217_Jose_Evelyn_Vila Vila" xfId="1011"/>
    <cellStyle name="%_Presupuesto Base Rep Cachigaga de 30m_Modelo Hoja Resumen_Cob-0105 Pilcocota" xfId="1012"/>
    <cellStyle name="%_Presupuesto Base Rep Cachigaga de 30m_Modelo Hoja Resumen_Cob-0105 Pilcocota_OFE UMBE _(Ref. 20-04-11)" xfId="1013"/>
    <cellStyle name="%_Presupuesto Base Rep Cachigaga de 30m_Modelo Hoja Resumen_Cob-0105 Pilcocota_RESUMEN DE HOJA DE OFERTA Y LIQUIDACION" xfId="1014"/>
    <cellStyle name="%_Presupuesto Base Rep Cachigaga de 30m_Modelo Hoja Resumen_Copia de Preciario LATAM 2009" xfId="1015"/>
    <cellStyle name="%_Presupuesto Base Rep Cachigaga de 30m_Modelo Hoja Resumen_EBC AGRICULTURA - R1" xfId="1016"/>
    <cellStyle name="%_Presupuesto Base Rep Cachigaga de 30m_Modelo Hoja Resumen_EBC TOCNOPE" xfId="1017"/>
    <cellStyle name="%_Presupuesto Base Rep Cachigaga de 30m_Modelo Hoja Resumen_Liq. Guindas" xfId="1018"/>
    <cellStyle name="%_Presupuesto Base Rep Cachigaga de 30m_Modelo Hoja Resumen_LIQ. OCOBAMBA" xfId="1019"/>
    <cellStyle name="%_Presupuesto Base Rep Cachigaga de 30m_Modelo Hoja Resumen_LIQUIDACIàN  SAN JOSE DE SECCE (2)" xfId="1020"/>
    <cellStyle name="%_Presupuesto Base Rep Cachigaga de 30m_Modelo Hoja Resumen_MOntelima" xfId="1021"/>
    <cellStyle name="%_Presupuesto Base Rep Cachigaga de 30m_Modelo Hoja Resumen_OFE UMBE _(Ref. 20-04-11)" xfId="1022"/>
    <cellStyle name="%_Presupuesto Base Rep Cachigaga de 30m_Modelo Hoja Resumen_OFERTA DE GE - MONTE LOS OLIVOS - SIN TANQUES" xfId="1023"/>
    <cellStyle name="%_Presupuesto Base Rep Cachigaga de 30m_Modelo Hoja Resumen_RESUMEN DE HOJA DE OFERTA Y LIQUIDACION" xfId="1024"/>
    <cellStyle name="%_Presupuesto Base Rep Cachigaga de 30m_Modelo Hoja Resumen_TORRE DESMONTABLE  DE 30M" xfId="1025"/>
    <cellStyle name="%_Presupuesto Base Rep Cachigaga de 30m_MOntelima" xfId="1026"/>
    <cellStyle name="%_Presupuesto Base Rep Cachigaga de 30m_NUEVA IMPERIAL" xfId="1027"/>
    <cellStyle name="%_Presupuesto Base Rep Cachigaga de 30m_NUEVO PROYECTO CUCHIPAMPA R3 - OPCION 2" xfId="1028"/>
    <cellStyle name="%_Presupuesto Base Rep Cachigaga de 30m_OCOBAMBA" xfId="1029"/>
    <cellStyle name="%_Presupuesto Base Rep Cachigaga de 30m_OFERTA DE GE - MONTE LOS OLIVOS - SIN TANQUES" xfId="1030"/>
    <cellStyle name="%_Presupuesto Base Rep Cachigaga de 30m_PEDAGOGICO _NEXTEL" xfId="1031"/>
    <cellStyle name="%_Presupuesto Base Rep Cachigaga de 30m_POZO DE LIZA_NEXTEL" xfId="1032"/>
    <cellStyle name="%_Presupuesto Base Rep Cachigaga de 30m_Presupuesto base Caraybamba" xfId="1033"/>
    <cellStyle name="%_Presupuesto Base Rep Cachigaga de 30m_Presupuesto base Caraybamba_20090903_PALLANCHACRA_JUDITH_JOSE (3)" xfId="1034"/>
    <cellStyle name="%_Presupuesto Base Rep Cachigaga de 30m_Presupuesto base Caraybamba_20090903_UC PALLANCHACRA_JUDITH_JOSE" xfId="1035"/>
    <cellStyle name="%_Presupuesto Base Rep Cachigaga de 30m_Presupuesto base Caraybamba_20090907_CHIARA_JUDITH_JOSE" xfId="1036"/>
    <cellStyle name="%_Presupuesto Base Rep Cachigaga de 30m_Presupuesto base Caraybamba_20090907_URA ALTO CAIMA_JUDITH_SEGUNDO" xfId="1037"/>
    <cellStyle name="%_Presupuesto Base Rep Cachigaga de 30m_Presupuesto base Caraybamba_20090928_EBC ADELA LOLI_JUDITH_VERONICA" xfId="1038"/>
    <cellStyle name="%_Presupuesto Base Rep Cachigaga de 30m_Presupuesto base Caraybamba_20091120_Dalias_JUDITH_MARIANA" xfId="1039"/>
    <cellStyle name="%_Presupuesto Base Rep Cachigaga de 30m_Presupuesto base Caraybamba_20100217_Jose_Evelyn_Vila Vila" xfId="1040"/>
    <cellStyle name="%_Presupuesto Base Rep Cachigaga de 30m_Presupuesto base Caraybamba_EBC AGRICULTURA - R1" xfId="1041"/>
    <cellStyle name="%_Presupuesto Base Rep Cachigaga de 30m_Presupuesto base Caraybamba_EBC TOCNOPE" xfId="1042"/>
    <cellStyle name="%_Presupuesto Base Rep Cachigaga de 30m_Presupuesto base Caraybamba_Liq. Guindas" xfId="1043"/>
    <cellStyle name="%_Presupuesto Base Rep Cachigaga de 30m_Presupuesto base Caraybamba_LIQ. OCOBAMBA" xfId="1044"/>
    <cellStyle name="%_Presupuesto Base Rep Cachigaga de 30m_Presupuesto base Caraybamba_LIQUIDACIàN  SAN JOSE DE SECCE (2)" xfId="1045"/>
    <cellStyle name="%_Presupuesto Base Rep Cachigaga de 30m_Presupuesto base Caraybamba_OFERTA DE GE - MONTE LOS OLIVOS - SIN TANQUES" xfId="1046"/>
    <cellStyle name="%_Presupuesto Base Rep Cachigaga de 30m_Presupuesto base Oropesa" xfId="1047"/>
    <cellStyle name="%_Presupuesto Base Rep Cachigaga de 30m_Presupuesto base Pachaconas" xfId="1048"/>
    <cellStyle name="%_Presupuesto Base Rep Cachigaga de 30m_Presupuesto base Pachaconas_Copia de Preciario LATAM 2009" xfId="1049"/>
    <cellStyle name="%_Presupuesto Base Rep Cachigaga de 30m_TRES ARCOS " xfId="1050"/>
    <cellStyle name="%_Presupuesto Base Rep Cachigaga de 30m_TRES ARCOS-Revision 2 " xfId="1051"/>
    <cellStyle name="%_Presupuesto Base Rep Cachigaga de 30m_UC MEDRANO - presupuesto 260609" xfId="1052"/>
    <cellStyle name="%_Presupuesto Base Rep Cachigaga de 30m_UC MEDRANO - presupuesto 260609_20090903_PALLANCHACRA_JUDITH_JOSE (3)" xfId="1053"/>
    <cellStyle name="%_Presupuesto Base Rep Cachigaga de 30m_UC MEDRANO - presupuesto 260609_20090903_UC PALLANCHACRA_JUDITH_JOSE" xfId="1054"/>
    <cellStyle name="%_Presupuesto Base Rep Cachigaga de 30m_UC MEDRANO - presupuesto 260609_20090907_CHIARA_JUDITH_JOSE" xfId="1055"/>
    <cellStyle name="%_Presupuesto Base Rep Cachigaga de 30m_UC MEDRANO - presupuesto 260609_20090907_URA ALTO CAIMA_JUDITH_SEGUNDO" xfId="1056"/>
    <cellStyle name="%_Presupuesto Base Rep Cachigaga de 30m_UC MEDRANO - presupuesto 260609_20090928_EBC ADELA LOLI_JUDITH_VERONICA" xfId="1057"/>
    <cellStyle name="%_Presupuesto Base Rep Cachigaga de 30m_UC MEDRANO - presupuesto 260609_20091120_Dalias_JUDITH_MARIANA" xfId="1058"/>
    <cellStyle name="%_Presupuesto Base Rep Cachigaga de 30m_UC MEDRANO - presupuesto 260609_20100217_Jose_Evelyn_Vila Vila" xfId="1059"/>
    <cellStyle name="%_Presupuesto Base Rep Cachigaga de 30m_UC MEDRANO - presupuesto 260609_EBC AGRICULTURA - R1" xfId="1060"/>
    <cellStyle name="%_Presupuesto Base Rep Cachigaga de 30m_UC MEDRANO - presupuesto 260609_EBC TOCNOPE" xfId="1061"/>
    <cellStyle name="%_Presupuesto Base Rep Cachigaga de 30m_UC MEDRANO - presupuesto 260609_Liq. Guindas" xfId="1062"/>
    <cellStyle name="%_Presupuesto Base Rep Cachigaga de 30m_UC MEDRANO - presupuesto 260609_LIQ. OCOBAMBA" xfId="1063"/>
    <cellStyle name="%_Presupuesto Base Rep Cachigaga de 30m_UC MEDRANO - presupuesto 260609_LIQUIDACIàN  SAN JOSE DE SECCE (2)" xfId="1064"/>
    <cellStyle name="%_Presupuesto Base Rep Cachigaga de 30m_UC MEDRANO - presupuesto 260609_OFERTA DE GE - MONTE LOS OLIVOS - SIN TANQUES" xfId="1065"/>
    <cellStyle name="%_Presupuesto Base Rep Cachigaga de 30m_UC YANACA - presupuesto 020709" xfId="1066"/>
    <cellStyle name="%_Presupuesto Base Rep Cachigaga de 30m_UC_CARAYBAMBA" xfId="1067"/>
    <cellStyle name="%_Presupuesto Base Rep Cachigaga de 30m_UC_OROPESA" xfId="1068"/>
    <cellStyle name="%_Presupuesto Base Rep Cachigaga de 30m_URA ALTO CAYMA" xfId="1069"/>
    <cellStyle name="%_Presupuesto Base Rep Cachigaga de 30m_URA CIUDAD BLANCA." xfId="1070"/>
    <cellStyle name="%_Presupuesto Base Rep Cachigaga de 30m_URA GRAU" xfId="1071"/>
    <cellStyle name="%_Presupuesto Base Rep Cachigaga de 30m_URA GRAU_Cob-0105 Pilcocota" xfId="1072"/>
    <cellStyle name="%_Presupuesto Base Rep Cachigaga de 30m_URA GRAU_Cob-0105 Pilcocota_OFE UMBE _(Ref. 20-04-11)" xfId="1073"/>
    <cellStyle name="%_Presupuesto Base Rep Cachigaga de 30m_URA GRAU_Cob-0105 Pilcocota_RESUMEN DE HOJA DE OFERTA Y LIQUIDACION" xfId="1074"/>
    <cellStyle name="%_Presupuesto Base Rep Cachigaga de 30m_URA GRAU_MOntelima" xfId="1075"/>
    <cellStyle name="%_Presupuesto Base Rep Cachigaga de 30m_URA GRAU_OFE UMBE _(Ref. 20-04-11)" xfId="1076"/>
    <cellStyle name="%_Presupuesto Base Rep Cachigaga de 30m_URA GRAU_RESUMEN DE HOJA DE OFERTA Y LIQUIDACION" xfId="1077"/>
    <cellStyle name="%_Presupuesto Huanoquite" xfId="1078"/>
    <cellStyle name="%_Presupuesto Ocobamba" xfId="1079"/>
    <cellStyle name="%_PRESUPUESTO TORRE VENTADA EL ZORRO" xfId="1080"/>
    <cellStyle name="%_PRESUPUESTO TORRE VENTADA EL ZORRO_Hoja Resumen Con Firmas" xfId="1081"/>
    <cellStyle name="%_PRESUPUESTO TORRE VENTADA EL ZORRO_Hoja Resumen Con Firmas_20090928_EBC ADELA LOLI_JUDITH_VERONICA" xfId="1082"/>
    <cellStyle name="%_PRESUPUESTO TORRE VENTADA EL ZORRO_Hoja Resumen Con Firmas_Cob-0105 Pilcocota" xfId="1083"/>
    <cellStyle name="%_PRESUPUESTO TORRE VENTADA EL ZORRO_Hoja Resumen Con Firmas_Cob-0105 Pilcocota_OFE UMBE _(Ref. 20-04-11)" xfId="1084"/>
    <cellStyle name="%_PRESUPUESTO TORRE VENTADA EL ZORRO_Hoja Resumen Con Firmas_Cob-0105 Pilcocota_RESUMEN DE HOJA DE OFERTA Y LIQUIDACION" xfId="1085"/>
    <cellStyle name="%_PRESUPUESTO TORRE VENTADA EL ZORRO_Hoja Resumen Con Firmas_EBC TOCNOPE" xfId="1086"/>
    <cellStyle name="%_PRESUPUESTO TORRE VENTADA EL ZORRO_Hoja Resumen Con Firmas_MOntelima" xfId="1087"/>
    <cellStyle name="%_PRESUPUESTO TORRE VENTADA EL ZORRO_Hoja Resumen Con Firmas_OFE UMBE _(Ref. 20-04-11)" xfId="1088"/>
    <cellStyle name="%_PRESUPUESTO TORRE VENTADA EL ZORRO_Hoja Resumen Con Firmas_OFERTA DE GE - MONTE LOS OLIVOS - SIN TANQUES" xfId="1089"/>
    <cellStyle name="%_PRESUPUESTO TORRE VENTADA EL ZORRO_Hoja Resumen Con Firmas_RESUMEN DE HOJA DE OFERTA Y LIQUIDACION" xfId="1090"/>
    <cellStyle name="%_PRESUPUESTO TORRE VENTADA EL ZORRO_Rep Choloque 30m - II" xfId="1091"/>
    <cellStyle name="%_PRESUPUESTO TORRE VENTADA EL ZORRO_Rep Choloque 30m - II_20090928_EBC ADELA LOLI_JUDITH_VERONICA" xfId="1092"/>
    <cellStyle name="%_PRESUPUESTO TORRE VENTADA EL ZORRO_Rep Choloque 30m - II_Cob-0105 Pilcocota" xfId="1093"/>
    <cellStyle name="%_PRESUPUESTO TORRE VENTADA EL ZORRO_Rep Choloque 30m - II_Cob-0105 Pilcocota_OFE UMBE _(Ref. 20-04-11)" xfId="1094"/>
    <cellStyle name="%_PRESUPUESTO TORRE VENTADA EL ZORRO_Rep Choloque 30m - II_Cob-0105 Pilcocota_RESUMEN DE HOJA DE OFERTA Y LIQUIDACION" xfId="1095"/>
    <cellStyle name="%_PRESUPUESTO TORRE VENTADA EL ZORRO_Rep Choloque 30m - II_EBC TOCNOPE" xfId="1096"/>
    <cellStyle name="%_PRESUPUESTO TORRE VENTADA EL ZORRO_Rep Choloque 30m - II_MOntelima" xfId="1097"/>
    <cellStyle name="%_PRESUPUESTO TORRE VENTADA EL ZORRO_Rep Choloque 30m - II_OFE UMBE _(Ref. 20-04-11)" xfId="1098"/>
    <cellStyle name="%_PRESUPUESTO TORRE VENTADA EL ZORRO_Rep Choloque 30m - II_OFERTA DE GE - MONTE LOS OLIVOS - SIN TANQUES" xfId="1099"/>
    <cellStyle name="%_PRESUPUESTO TORRE VENTADA EL ZORRO_Rep Choloque 30m - II_RESUMEN DE HOJA DE OFERTA Y LIQUIDACION" xfId="1100"/>
    <cellStyle name="%_Pto 0008-01-08 - Tintay G" xfId="1101"/>
    <cellStyle name="%_Pto0010-1-08" xfId="1102"/>
    <cellStyle name="%_Pto0010-1-08_Hoja Resumen Con Firmas" xfId="1103"/>
    <cellStyle name="%_Pto0010-1-08_Hoja Resumen Con Firmas_20090928_EBC ADELA LOLI_JUDITH_VERONICA" xfId="1104"/>
    <cellStyle name="%_Pto0010-1-08_Hoja Resumen Con Firmas_Cob-0105 Pilcocota" xfId="1105"/>
    <cellStyle name="%_Pto0010-1-08_Hoja Resumen Con Firmas_Cob-0105 Pilcocota_OFE UMBE _(Ref. 20-04-11)" xfId="1106"/>
    <cellStyle name="%_Pto0010-1-08_Hoja Resumen Con Firmas_Cob-0105 Pilcocota_RESUMEN DE HOJA DE OFERTA Y LIQUIDACION" xfId="1107"/>
    <cellStyle name="%_Pto0010-1-08_Hoja Resumen Con Firmas_EBC TOCNOPE" xfId="1108"/>
    <cellStyle name="%_Pto0010-1-08_Hoja Resumen Con Firmas_MOntelima" xfId="1109"/>
    <cellStyle name="%_Pto0010-1-08_Hoja Resumen Con Firmas_OFE UMBE _(Ref. 20-04-11)" xfId="1110"/>
    <cellStyle name="%_Pto0010-1-08_Hoja Resumen Con Firmas_OFERTA DE GE - MONTE LOS OLIVOS - SIN TANQUES" xfId="1111"/>
    <cellStyle name="%_Pto0010-1-08_Hoja Resumen Con Firmas_RESUMEN DE HOJA DE OFERTA Y LIQUIDACION" xfId="1112"/>
    <cellStyle name="%_Pto0010-1-08_Rep Choloque 30m - II" xfId="1113"/>
    <cellStyle name="%_Pto0010-1-08_Rep Choloque 30m - II_20090928_EBC ADELA LOLI_JUDITH_VERONICA" xfId="1114"/>
    <cellStyle name="%_Pto0010-1-08_Rep Choloque 30m - II_Cob-0105 Pilcocota" xfId="1115"/>
    <cellStyle name="%_Pto0010-1-08_Rep Choloque 30m - II_Cob-0105 Pilcocota_OFE UMBE _(Ref. 20-04-11)" xfId="1116"/>
    <cellStyle name="%_Pto0010-1-08_Rep Choloque 30m - II_Cob-0105 Pilcocota_RESUMEN DE HOJA DE OFERTA Y LIQUIDACION" xfId="1117"/>
    <cellStyle name="%_Pto0010-1-08_Rep Choloque 30m - II_EBC TOCNOPE" xfId="1118"/>
    <cellStyle name="%_Pto0010-1-08_Rep Choloque 30m - II_MOntelima" xfId="1119"/>
    <cellStyle name="%_Pto0010-1-08_Rep Choloque 30m - II_OFE UMBE _(Ref. 20-04-11)" xfId="1120"/>
    <cellStyle name="%_Pto0010-1-08_Rep Choloque 30m - II_OFERTA DE GE - MONTE LOS OLIVOS - SIN TANQUES" xfId="1121"/>
    <cellStyle name="%_Pto0010-1-08_Rep Choloque 30m - II_RESUMEN DE HOJA DE OFERTA Y LIQUIDACION" xfId="1122"/>
    <cellStyle name="%_Pto0520-3-07" xfId="1123"/>
    <cellStyle name="%_Pto0520-3-07_20090903_PALLANCHACRA_JUDITH_JOSE (3)" xfId="1124"/>
    <cellStyle name="%_Pto0520-3-07_20090903_UC PALLANCHACRA_JUDITH_JOSE" xfId="1125"/>
    <cellStyle name="%_Pto0520-3-07_20090907_CHIARA_JUDITH_JOSE" xfId="1126"/>
    <cellStyle name="%_Pto0520-3-07_20090907_URA ALTO CAIMA_JUDITH_SEGUNDO" xfId="1127"/>
    <cellStyle name="%_Pto0520-3-07_20090928_EBC ADELA LOLI_JUDITH_VERONICA" xfId="1128"/>
    <cellStyle name="%_Pto0520-3-07_20091120_Dalias_JUDITH_MARIANA" xfId="1129"/>
    <cellStyle name="%_Pto0520-3-07_20100217_Jose_Evelyn_Vila Vila" xfId="1130"/>
    <cellStyle name="%_Pto0520-3-07_bentonita y thorgel - vila vila" xfId="1131"/>
    <cellStyle name="%_Pto0520-3-07_Copia de Preciario LATAM 2009" xfId="1132"/>
    <cellStyle name="%_Pto0520-3-07_EBC AGRICULTURA - R1" xfId="1133"/>
    <cellStyle name="%_Pto0520-3-07_EBC TOCNOPE" xfId="1134"/>
    <cellStyle name="%_Pto0520-3-07_Hoja Resumen Con Firmas" xfId="1135"/>
    <cellStyle name="%_Pto0520-3-07_Hoja Resumen Con Firmas_20090928_EBC ADELA LOLI_JUDITH_VERONICA" xfId="1136"/>
    <cellStyle name="%_Pto0520-3-07_Hoja Resumen Con Firmas_Cob-0105 Pilcocota" xfId="1137"/>
    <cellStyle name="%_Pto0520-3-07_Hoja Resumen Con Firmas_Cob-0105 Pilcocota_OFE UMBE _(Ref. 20-04-11)" xfId="1138"/>
    <cellStyle name="%_Pto0520-3-07_Hoja Resumen Con Firmas_Cob-0105 Pilcocota_RESUMEN DE HOJA DE OFERTA Y LIQUIDACION" xfId="1139"/>
    <cellStyle name="%_Pto0520-3-07_Hoja Resumen Con Firmas_EBC TOCNOPE" xfId="1140"/>
    <cellStyle name="%_Pto0520-3-07_Hoja Resumen Con Firmas_MOntelima" xfId="1141"/>
    <cellStyle name="%_Pto0520-3-07_Hoja Resumen Con Firmas_OFE UMBE _(Ref. 20-04-11)" xfId="1142"/>
    <cellStyle name="%_Pto0520-3-07_Hoja Resumen Con Firmas_OFERTA DE GE - MONTE LOS OLIVOS - SIN TANQUES" xfId="1143"/>
    <cellStyle name="%_Pto0520-3-07_Hoja Resumen Con Firmas_RESUMEN DE HOJA DE OFERTA Y LIQUIDACION" xfId="1144"/>
    <cellStyle name="%_Pto0520-3-07_Liq. Guindas" xfId="1145"/>
    <cellStyle name="%_Pto0520-3-07_LIQ. OCOBAMBA" xfId="1146"/>
    <cellStyle name="%_Pto0520-3-07_LIQUIDACIàN  SAN JOSE DE SECCE (2)" xfId="1147"/>
    <cellStyle name="%_Pto0520-3-07_OFERTA DE GE - MONTE LOS OLIVOS - SIN TANQUES" xfId="1148"/>
    <cellStyle name="%_Pto0520-3-07_Rep Choloque 30m - II" xfId="1149"/>
    <cellStyle name="%_Pto0520-3-07_Rep Choloque 30m - II_20090928_EBC ADELA LOLI_JUDITH_VERONICA" xfId="1150"/>
    <cellStyle name="%_Pto0520-3-07_Rep Choloque 30m - II_Cob-0105 Pilcocota" xfId="1151"/>
    <cellStyle name="%_Pto0520-3-07_Rep Choloque 30m - II_Cob-0105 Pilcocota_OFE UMBE _(Ref. 20-04-11)" xfId="1152"/>
    <cellStyle name="%_Pto0520-3-07_Rep Choloque 30m - II_Cob-0105 Pilcocota_RESUMEN DE HOJA DE OFERTA Y LIQUIDACION" xfId="1153"/>
    <cellStyle name="%_Pto0520-3-07_Rep Choloque 30m - II_EBC TOCNOPE" xfId="1154"/>
    <cellStyle name="%_Pto0520-3-07_Rep Choloque 30m - II_MOntelima" xfId="1155"/>
    <cellStyle name="%_Pto0520-3-07_Rep Choloque 30m - II_OFE UMBE _(Ref. 20-04-11)" xfId="1156"/>
    <cellStyle name="%_Pto0520-3-07_Rep Choloque 30m - II_OFERTA DE GE - MONTE LOS OLIVOS - SIN TANQUES" xfId="1157"/>
    <cellStyle name="%_Pto0520-3-07_Rep Choloque 30m - II_RESUMEN DE HOJA DE OFERTA Y LIQUIDACION" xfId="1158"/>
    <cellStyle name="%_Pto1048-2-07" xfId="1159"/>
    <cellStyle name="%_Pto1048-2-07_Hoja Resumen Con Firmas" xfId="1160"/>
    <cellStyle name="%_Pto1048-2-07_Hoja Resumen Con Firmas_20090928_EBC ADELA LOLI_JUDITH_VERONICA" xfId="1161"/>
    <cellStyle name="%_Pto1048-2-07_Hoja Resumen Con Firmas_Cob-0105 Pilcocota" xfId="1162"/>
    <cellStyle name="%_Pto1048-2-07_Hoja Resumen Con Firmas_Cob-0105 Pilcocota_OFE UMBE _(Ref. 20-04-11)" xfId="1163"/>
    <cellStyle name="%_Pto1048-2-07_Hoja Resumen Con Firmas_Cob-0105 Pilcocota_RESUMEN DE HOJA DE OFERTA Y LIQUIDACION" xfId="1164"/>
    <cellStyle name="%_Pto1048-2-07_Hoja Resumen Con Firmas_EBC TOCNOPE" xfId="1165"/>
    <cellStyle name="%_Pto1048-2-07_Hoja Resumen Con Firmas_MOntelima" xfId="1166"/>
    <cellStyle name="%_Pto1048-2-07_Hoja Resumen Con Firmas_OFE UMBE _(Ref. 20-04-11)" xfId="1167"/>
    <cellStyle name="%_Pto1048-2-07_Hoja Resumen Con Firmas_OFERTA DE GE - MONTE LOS OLIVOS - SIN TANQUES" xfId="1168"/>
    <cellStyle name="%_Pto1048-2-07_Hoja Resumen Con Firmas_RESUMEN DE HOJA DE OFERTA Y LIQUIDACION" xfId="1169"/>
    <cellStyle name="%_Pto1048-2-07_Rep Choloque 30m - II" xfId="1170"/>
    <cellStyle name="%_Pto1048-2-07_Rep Choloque 30m - II_20090928_EBC ADELA LOLI_JUDITH_VERONICA" xfId="1171"/>
    <cellStyle name="%_Pto1048-2-07_Rep Choloque 30m - II_Cob-0105 Pilcocota" xfId="1172"/>
    <cellStyle name="%_Pto1048-2-07_Rep Choloque 30m - II_Cob-0105 Pilcocota_OFE UMBE _(Ref. 20-04-11)" xfId="1173"/>
    <cellStyle name="%_Pto1048-2-07_Rep Choloque 30m - II_Cob-0105 Pilcocota_RESUMEN DE HOJA DE OFERTA Y LIQUIDACION" xfId="1174"/>
    <cellStyle name="%_Pto1048-2-07_Rep Choloque 30m - II_EBC TOCNOPE" xfId="1175"/>
    <cellStyle name="%_Pto1048-2-07_Rep Choloque 30m - II_MOntelima" xfId="1176"/>
    <cellStyle name="%_Pto1048-2-07_Rep Choloque 30m - II_OFE UMBE _(Ref. 20-04-11)" xfId="1177"/>
    <cellStyle name="%_Pto1048-2-07_Rep Choloque 30m - II_OFERTA DE GE - MONTE LOS OLIVOS - SIN TANQUES" xfId="1178"/>
    <cellStyle name="%_Pto1048-2-07_Rep Choloque 30m - II_RESUMEN DE HOJA DE OFERTA Y LIQUIDACION" xfId="1179"/>
    <cellStyle name="%_Pto1049-3-07" xfId="1180"/>
    <cellStyle name="%_Pto1049-3-07_Hoja Resumen Con Firmas" xfId="1181"/>
    <cellStyle name="%_Pto1049-3-07_Hoja Resumen Con Firmas_20090928_EBC ADELA LOLI_JUDITH_VERONICA" xfId="1182"/>
    <cellStyle name="%_Pto1049-3-07_Hoja Resumen Con Firmas_Cob-0105 Pilcocota" xfId="1183"/>
    <cellStyle name="%_Pto1049-3-07_Hoja Resumen Con Firmas_Cob-0105 Pilcocota_OFE UMBE _(Ref. 20-04-11)" xfId="1184"/>
    <cellStyle name="%_Pto1049-3-07_Hoja Resumen Con Firmas_Cob-0105 Pilcocota_RESUMEN DE HOJA DE OFERTA Y LIQUIDACION" xfId="1185"/>
    <cellStyle name="%_Pto1049-3-07_Hoja Resumen Con Firmas_EBC TOCNOPE" xfId="1186"/>
    <cellStyle name="%_Pto1049-3-07_Hoja Resumen Con Firmas_MOntelima" xfId="1187"/>
    <cellStyle name="%_Pto1049-3-07_Hoja Resumen Con Firmas_OFE UMBE _(Ref. 20-04-11)" xfId="1188"/>
    <cellStyle name="%_Pto1049-3-07_Hoja Resumen Con Firmas_OFERTA DE GE - MONTE LOS OLIVOS - SIN TANQUES" xfId="1189"/>
    <cellStyle name="%_Pto1049-3-07_Hoja Resumen Con Firmas_RESUMEN DE HOJA DE OFERTA Y LIQUIDACION" xfId="1190"/>
    <cellStyle name="%_Pto1049-3-07_Rep Choloque 30m - II" xfId="1191"/>
    <cellStyle name="%_Pto1049-3-07_Rep Choloque 30m - II_20090928_EBC ADELA LOLI_JUDITH_VERONICA" xfId="1192"/>
    <cellStyle name="%_Pto1049-3-07_Rep Choloque 30m - II_Cob-0105 Pilcocota" xfId="1193"/>
    <cellStyle name="%_Pto1049-3-07_Rep Choloque 30m - II_Cob-0105 Pilcocota_OFE UMBE _(Ref. 20-04-11)" xfId="1194"/>
    <cellStyle name="%_Pto1049-3-07_Rep Choloque 30m - II_Cob-0105 Pilcocota_RESUMEN DE HOJA DE OFERTA Y LIQUIDACION" xfId="1195"/>
    <cellStyle name="%_Pto1049-3-07_Rep Choloque 30m - II_EBC TOCNOPE" xfId="1196"/>
    <cellStyle name="%_Pto1049-3-07_Rep Choloque 30m - II_MOntelima" xfId="1197"/>
    <cellStyle name="%_Pto1049-3-07_Rep Choloque 30m - II_OFE UMBE _(Ref. 20-04-11)" xfId="1198"/>
    <cellStyle name="%_Pto1049-3-07_Rep Choloque 30m - II_OFERTA DE GE - MONTE LOS OLIVOS - SIN TANQUES" xfId="1199"/>
    <cellStyle name="%_Pto1049-3-07_Rep Choloque 30m - II_RESUMEN DE HOJA DE OFERTA Y LIQUIDACION" xfId="1200"/>
    <cellStyle name="%_Pto1248-2-07" xfId="1201"/>
    <cellStyle name="%_Pto1248-2-07_Hoja Resumen Con Firmas" xfId="1202"/>
    <cellStyle name="%_Pto1248-2-07_Hoja Resumen Con Firmas_20090928_EBC ADELA LOLI_JUDITH_VERONICA" xfId="1203"/>
    <cellStyle name="%_Pto1248-2-07_Hoja Resumen Con Firmas_Cob-0105 Pilcocota" xfId="1204"/>
    <cellStyle name="%_Pto1248-2-07_Hoja Resumen Con Firmas_Cob-0105 Pilcocota_OFE UMBE _(Ref. 20-04-11)" xfId="1205"/>
    <cellStyle name="%_Pto1248-2-07_Hoja Resumen Con Firmas_Cob-0105 Pilcocota_RESUMEN DE HOJA DE OFERTA Y LIQUIDACION" xfId="1206"/>
    <cellStyle name="%_Pto1248-2-07_Hoja Resumen Con Firmas_EBC TOCNOPE" xfId="1207"/>
    <cellStyle name="%_Pto1248-2-07_Hoja Resumen Con Firmas_MOntelima" xfId="1208"/>
    <cellStyle name="%_Pto1248-2-07_Hoja Resumen Con Firmas_OFE UMBE _(Ref. 20-04-11)" xfId="1209"/>
    <cellStyle name="%_Pto1248-2-07_Hoja Resumen Con Firmas_OFERTA DE GE - MONTE LOS OLIVOS - SIN TANQUES" xfId="1210"/>
    <cellStyle name="%_Pto1248-2-07_Hoja Resumen Con Firmas_RESUMEN DE HOJA DE OFERTA Y LIQUIDACION" xfId="1211"/>
    <cellStyle name="%_Pto1248-2-07_Rep Choloque 30m - II" xfId="1212"/>
    <cellStyle name="%_Pto1248-2-07_Rep Choloque 30m - II_20090928_EBC ADELA LOLI_JUDITH_VERONICA" xfId="1213"/>
    <cellStyle name="%_Pto1248-2-07_Rep Choloque 30m - II_Cob-0105 Pilcocota" xfId="1214"/>
    <cellStyle name="%_Pto1248-2-07_Rep Choloque 30m - II_Cob-0105 Pilcocota_OFE UMBE _(Ref. 20-04-11)" xfId="1215"/>
    <cellStyle name="%_Pto1248-2-07_Rep Choloque 30m - II_Cob-0105 Pilcocota_RESUMEN DE HOJA DE OFERTA Y LIQUIDACION" xfId="1216"/>
    <cellStyle name="%_Pto1248-2-07_Rep Choloque 30m - II_EBC TOCNOPE" xfId="1217"/>
    <cellStyle name="%_Pto1248-2-07_Rep Choloque 30m - II_MOntelima" xfId="1218"/>
    <cellStyle name="%_Pto1248-2-07_Rep Choloque 30m - II_OFE UMBE _(Ref. 20-04-11)" xfId="1219"/>
    <cellStyle name="%_Pto1248-2-07_Rep Choloque 30m - II_OFERTA DE GE - MONTE LOS OLIVOS - SIN TANQUES" xfId="1220"/>
    <cellStyle name="%_Pto1248-2-07_Rep Choloque 30m - II_RESUMEN DE HOJA DE OFERTA Y LIQUIDACION" xfId="1221"/>
    <cellStyle name="%_Pto1249-2-07" xfId="1222"/>
    <cellStyle name="%_Pto1249-2-07_Hoja Resumen Con Firmas" xfId="1223"/>
    <cellStyle name="%_Pto1249-2-07_Hoja Resumen Con Firmas_20090928_EBC ADELA LOLI_JUDITH_VERONICA" xfId="1224"/>
    <cellStyle name="%_Pto1249-2-07_Hoja Resumen Con Firmas_Cob-0105 Pilcocota" xfId="1225"/>
    <cellStyle name="%_Pto1249-2-07_Hoja Resumen Con Firmas_Cob-0105 Pilcocota_OFE UMBE _(Ref. 20-04-11)" xfId="1226"/>
    <cellStyle name="%_Pto1249-2-07_Hoja Resumen Con Firmas_Cob-0105 Pilcocota_RESUMEN DE HOJA DE OFERTA Y LIQUIDACION" xfId="1227"/>
    <cellStyle name="%_Pto1249-2-07_Hoja Resumen Con Firmas_EBC TOCNOPE" xfId="1228"/>
    <cellStyle name="%_Pto1249-2-07_Hoja Resumen Con Firmas_MOntelima" xfId="1229"/>
    <cellStyle name="%_Pto1249-2-07_Hoja Resumen Con Firmas_OFE UMBE _(Ref. 20-04-11)" xfId="1230"/>
    <cellStyle name="%_Pto1249-2-07_Hoja Resumen Con Firmas_OFERTA DE GE - MONTE LOS OLIVOS - SIN TANQUES" xfId="1231"/>
    <cellStyle name="%_Pto1249-2-07_Hoja Resumen Con Firmas_RESUMEN DE HOJA DE OFERTA Y LIQUIDACION" xfId="1232"/>
    <cellStyle name="%_Pto1249-2-07_Rep Choloque 30m - II" xfId="1233"/>
    <cellStyle name="%_Pto1249-2-07_Rep Choloque 30m - II_20090928_EBC ADELA LOLI_JUDITH_VERONICA" xfId="1234"/>
    <cellStyle name="%_Pto1249-2-07_Rep Choloque 30m - II_Cob-0105 Pilcocota" xfId="1235"/>
    <cellStyle name="%_Pto1249-2-07_Rep Choloque 30m - II_Cob-0105 Pilcocota_OFE UMBE _(Ref. 20-04-11)" xfId="1236"/>
    <cellStyle name="%_Pto1249-2-07_Rep Choloque 30m - II_Cob-0105 Pilcocota_RESUMEN DE HOJA DE OFERTA Y LIQUIDACION" xfId="1237"/>
    <cellStyle name="%_Pto1249-2-07_Rep Choloque 30m - II_EBC TOCNOPE" xfId="1238"/>
    <cellStyle name="%_Pto1249-2-07_Rep Choloque 30m - II_MOntelima" xfId="1239"/>
    <cellStyle name="%_Pto1249-2-07_Rep Choloque 30m - II_OFE UMBE _(Ref. 20-04-11)" xfId="1240"/>
    <cellStyle name="%_Pto1249-2-07_Rep Choloque 30m - II_OFERTA DE GE - MONTE LOS OLIVOS - SIN TANQUES" xfId="1241"/>
    <cellStyle name="%_Pto1249-2-07_Rep Choloque 30m - II_RESUMEN DE HOJA DE OFERTA Y LIQUIDACION" xfId="1242"/>
    <cellStyle name="%_Pto1324-1-07" xfId="1243"/>
    <cellStyle name="%_Pto1324-1-07_Hoja Resumen Con Firmas" xfId="1244"/>
    <cellStyle name="%_Pto1324-1-07_Hoja Resumen Con Firmas_20090928_EBC ADELA LOLI_JUDITH_VERONICA" xfId="1245"/>
    <cellStyle name="%_Pto1324-1-07_Hoja Resumen Con Firmas_Cob-0105 Pilcocota" xfId="1246"/>
    <cellStyle name="%_Pto1324-1-07_Hoja Resumen Con Firmas_Cob-0105 Pilcocota_OFE UMBE _(Ref. 20-04-11)" xfId="1247"/>
    <cellStyle name="%_Pto1324-1-07_Hoja Resumen Con Firmas_Cob-0105 Pilcocota_RESUMEN DE HOJA DE OFERTA Y LIQUIDACION" xfId="1248"/>
    <cellStyle name="%_Pto1324-1-07_Hoja Resumen Con Firmas_EBC TOCNOPE" xfId="1249"/>
    <cellStyle name="%_Pto1324-1-07_Hoja Resumen Con Firmas_MOntelima" xfId="1250"/>
    <cellStyle name="%_Pto1324-1-07_Hoja Resumen Con Firmas_OFE UMBE _(Ref. 20-04-11)" xfId="1251"/>
    <cellStyle name="%_Pto1324-1-07_Hoja Resumen Con Firmas_OFERTA DE GE - MONTE LOS OLIVOS - SIN TANQUES" xfId="1252"/>
    <cellStyle name="%_Pto1324-1-07_Hoja Resumen Con Firmas_RESUMEN DE HOJA DE OFERTA Y LIQUIDACION" xfId="1253"/>
    <cellStyle name="%_Pto1324-1-07_Rep Choloque 30m - II" xfId="1254"/>
    <cellStyle name="%_Pto1324-1-07_Rep Choloque 30m - II_20090928_EBC ADELA LOLI_JUDITH_VERONICA" xfId="1255"/>
    <cellStyle name="%_Pto1324-1-07_Rep Choloque 30m - II_Cob-0105 Pilcocota" xfId="1256"/>
    <cellStyle name="%_Pto1324-1-07_Rep Choloque 30m - II_Cob-0105 Pilcocota_OFE UMBE _(Ref. 20-04-11)" xfId="1257"/>
    <cellStyle name="%_Pto1324-1-07_Rep Choloque 30m - II_Cob-0105 Pilcocota_RESUMEN DE HOJA DE OFERTA Y LIQUIDACION" xfId="1258"/>
    <cellStyle name="%_Pto1324-1-07_Rep Choloque 30m - II_EBC TOCNOPE" xfId="1259"/>
    <cellStyle name="%_Pto1324-1-07_Rep Choloque 30m - II_MOntelima" xfId="1260"/>
    <cellStyle name="%_Pto1324-1-07_Rep Choloque 30m - II_OFE UMBE _(Ref. 20-04-11)" xfId="1261"/>
    <cellStyle name="%_Pto1324-1-07_Rep Choloque 30m - II_OFERTA DE GE - MONTE LOS OLIVOS - SIN TANQUES" xfId="1262"/>
    <cellStyle name="%_Pto1324-1-07_Rep Choloque 30m - II_RESUMEN DE HOJA DE OFERTA Y LIQUIDACION" xfId="1263"/>
    <cellStyle name="%_Pto1324-2-07" xfId="1264"/>
    <cellStyle name="%_Pto1324-2-07_Hoja Resumen Con Firmas" xfId="1265"/>
    <cellStyle name="%_Pto1324-2-07_Hoja Resumen Con Firmas_20090928_EBC ADELA LOLI_JUDITH_VERONICA" xfId="1266"/>
    <cellStyle name="%_Pto1324-2-07_Hoja Resumen Con Firmas_Cob-0105 Pilcocota" xfId="1267"/>
    <cellStyle name="%_Pto1324-2-07_Hoja Resumen Con Firmas_Cob-0105 Pilcocota_OFE UMBE _(Ref. 20-04-11)" xfId="1268"/>
    <cellStyle name="%_Pto1324-2-07_Hoja Resumen Con Firmas_Cob-0105 Pilcocota_RESUMEN DE HOJA DE OFERTA Y LIQUIDACION" xfId="1269"/>
    <cellStyle name="%_Pto1324-2-07_Hoja Resumen Con Firmas_EBC TOCNOPE" xfId="1270"/>
    <cellStyle name="%_Pto1324-2-07_Hoja Resumen Con Firmas_MOntelima" xfId="1271"/>
    <cellStyle name="%_Pto1324-2-07_Hoja Resumen Con Firmas_OFE UMBE _(Ref. 20-04-11)" xfId="1272"/>
    <cellStyle name="%_Pto1324-2-07_Hoja Resumen Con Firmas_OFERTA DE GE - MONTE LOS OLIVOS - SIN TANQUES" xfId="1273"/>
    <cellStyle name="%_Pto1324-2-07_Hoja Resumen Con Firmas_RESUMEN DE HOJA DE OFERTA Y LIQUIDACION" xfId="1274"/>
    <cellStyle name="%_Pto1324-2-07_Rep Choloque 30m - II" xfId="1275"/>
    <cellStyle name="%_Pto1324-2-07_Rep Choloque 30m - II_20090928_EBC ADELA LOLI_JUDITH_VERONICA" xfId="1276"/>
    <cellStyle name="%_Pto1324-2-07_Rep Choloque 30m - II_Cob-0105 Pilcocota" xfId="1277"/>
    <cellStyle name="%_Pto1324-2-07_Rep Choloque 30m - II_Cob-0105 Pilcocota_OFE UMBE _(Ref. 20-04-11)" xfId="1278"/>
    <cellStyle name="%_Pto1324-2-07_Rep Choloque 30m - II_Cob-0105 Pilcocota_RESUMEN DE HOJA DE OFERTA Y LIQUIDACION" xfId="1279"/>
    <cellStyle name="%_Pto1324-2-07_Rep Choloque 30m - II_EBC TOCNOPE" xfId="1280"/>
    <cellStyle name="%_Pto1324-2-07_Rep Choloque 30m - II_MOntelima" xfId="1281"/>
    <cellStyle name="%_Pto1324-2-07_Rep Choloque 30m - II_OFE UMBE _(Ref. 20-04-11)" xfId="1282"/>
    <cellStyle name="%_Pto1324-2-07_Rep Choloque 30m - II_OFERTA DE GE - MONTE LOS OLIVOS - SIN TANQUES" xfId="1283"/>
    <cellStyle name="%_Pto1324-2-07_Rep Choloque 30m - II_RESUMEN DE HOJA DE OFERTA Y LIQUIDACION" xfId="1284"/>
    <cellStyle name="%_Pto1325-1-07" xfId="1285"/>
    <cellStyle name="%_Pto1325-1-07_Hoja Resumen Con Firmas" xfId="1286"/>
    <cellStyle name="%_Pto1325-1-07_Hoja Resumen Con Firmas_20090928_EBC ADELA LOLI_JUDITH_VERONICA" xfId="1287"/>
    <cellStyle name="%_Pto1325-1-07_Hoja Resumen Con Firmas_Cob-0105 Pilcocota" xfId="1288"/>
    <cellStyle name="%_Pto1325-1-07_Hoja Resumen Con Firmas_Cob-0105 Pilcocota_OFE UMBE _(Ref. 20-04-11)" xfId="1289"/>
    <cellStyle name="%_Pto1325-1-07_Hoja Resumen Con Firmas_Cob-0105 Pilcocota_RESUMEN DE HOJA DE OFERTA Y LIQUIDACION" xfId="1290"/>
    <cellStyle name="%_Pto1325-1-07_Hoja Resumen Con Firmas_EBC TOCNOPE" xfId="1291"/>
    <cellStyle name="%_Pto1325-1-07_Hoja Resumen Con Firmas_MOntelima" xfId="1292"/>
    <cellStyle name="%_Pto1325-1-07_Hoja Resumen Con Firmas_OFE UMBE _(Ref. 20-04-11)" xfId="1293"/>
    <cellStyle name="%_Pto1325-1-07_Hoja Resumen Con Firmas_OFERTA DE GE - MONTE LOS OLIVOS - SIN TANQUES" xfId="1294"/>
    <cellStyle name="%_Pto1325-1-07_Hoja Resumen Con Firmas_RESUMEN DE HOJA DE OFERTA Y LIQUIDACION" xfId="1295"/>
    <cellStyle name="%_Pto1325-1-07_Rep Choloque 30m - II" xfId="1296"/>
    <cellStyle name="%_Pto1325-1-07_Rep Choloque 30m - II_20090928_EBC ADELA LOLI_JUDITH_VERONICA" xfId="1297"/>
    <cellStyle name="%_Pto1325-1-07_Rep Choloque 30m - II_Cob-0105 Pilcocota" xfId="1298"/>
    <cellStyle name="%_Pto1325-1-07_Rep Choloque 30m - II_Cob-0105 Pilcocota_OFE UMBE _(Ref. 20-04-11)" xfId="1299"/>
    <cellStyle name="%_Pto1325-1-07_Rep Choloque 30m - II_Cob-0105 Pilcocota_RESUMEN DE HOJA DE OFERTA Y LIQUIDACION" xfId="1300"/>
    <cellStyle name="%_Pto1325-1-07_Rep Choloque 30m - II_EBC TOCNOPE" xfId="1301"/>
    <cellStyle name="%_Pto1325-1-07_Rep Choloque 30m - II_MOntelima" xfId="1302"/>
    <cellStyle name="%_Pto1325-1-07_Rep Choloque 30m - II_OFE UMBE _(Ref. 20-04-11)" xfId="1303"/>
    <cellStyle name="%_Pto1325-1-07_Rep Choloque 30m - II_OFERTA DE GE - MONTE LOS OLIVOS - SIN TANQUES" xfId="1304"/>
    <cellStyle name="%_Pto1325-1-07_Rep Choloque 30m - II_RESUMEN DE HOJA DE OFERTA Y LIQUIDACION" xfId="1305"/>
    <cellStyle name="%_Pto1326-1-07" xfId="1306"/>
    <cellStyle name="%_Pto1326-1-07_Hoja Resumen Con Firmas" xfId="1307"/>
    <cellStyle name="%_Pto1326-1-07_Hoja Resumen Con Firmas_20090928_EBC ADELA LOLI_JUDITH_VERONICA" xfId="1308"/>
    <cellStyle name="%_Pto1326-1-07_Hoja Resumen Con Firmas_Cob-0105 Pilcocota" xfId="1309"/>
    <cellStyle name="%_Pto1326-1-07_Hoja Resumen Con Firmas_Cob-0105 Pilcocota_OFE UMBE _(Ref. 20-04-11)" xfId="1310"/>
    <cellStyle name="%_Pto1326-1-07_Hoja Resumen Con Firmas_Cob-0105 Pilcocota_RESUMEN DE HOJA DE OFERTA Y LIQUIDACION" xfId="1311"/>
    <cellStyle name="%_Pto1326-1-07_Hoja Resumen Con Firmas_EBC TOCNOPE" xfId="1312"/>
    <cellStyle name="%_Pto1326-1-07_Hoja Resumen Con Firmas_MOntelima" xfId="1313"/>
    <cellStyle name="%_Pto1326-1-07_Hoja Resumen Con Firmas_OFE UMBE _(Ref. 20-04-11)" xfId="1314"/>
    <cellStyle name="%_Pto1326-1-07_Hoja Resumen Con Firmas_OFERTA DE GE - MONTE LOS OLIVOS - SIN TANQUES" xfId="1315"/>
    <cellStyle name="%_Pto1326-1-07_Hoja Resumen Con Firmas_RESUMEN DE HOJA DE OFERTA Y LIQUIDACION" xfId="1316"/>
    <cellStyle name="%_Pto1326-1-07_Rep Choloque 30m - II" xfId="1317"/>
    <cellStyle name="%_Pto1326-1-07_Rep Choloque 30m - II_20090928_EBC ADELA LOLI_JUDITH_VERONICA" xfId="1318"/>
    <cellStyle name="%_Pto1326-1-07_Rep Choloque 30m - II_Cob-0105 Pilcocota" xfId="1319"/>
    <cellStyle name="%_Pto1326-1-07_Rep Choloque 30m - II_Cob-0105 Pilcocota_OFE UMBE _(Ref. 20-04-11)" xfId="1320"/>
    <cellStyle name="%_Pto1326-1-07_Rep Choloque 30m - II_Cob-0105 Pilcocota_RESUMEN DE HOJA DE OFERTA Y LIQUIDACION" xfId="1321"/>
    <cellStyle name="%_Pto1326-1-07_Rep Choloque 30m - II_EBC TOCNOPE" xfId="1322"/>
    <cellStyle name="%_Pto1326-1-07_Rep Choloque 30m - II_MOntelima" xfId="1323"/>
    <cellStyle name="%_Pto1326-1-07_Rep Choloque 30m - II_OFE UMBE _(Ref. 20-04-11)" xfId="1324"/>
    <cellStyle name="%_Pto1326-1-07_Rep Choloque 30m - II_OFERTA DE GE - MONTE LOS OLIVOS - SIN TANQUES" xfId="1325"/>
    <cellStyle name="%_Pto1326-1-07_Rep Choloque 30m - II_RESUMEN DE HOJA DE OFERTA Y LIQUIDACION" xfId="1326"/>
    <cellStyle name="%_Pto1327-1-07" xfId="1327"/>
    <cellStyle name="%_Pto1327-1-07_Hoja Resumen Con Firmas" xfId="1328"/>
    <cellStyle name="%_Pto1327-1-07_Hoja Resumen Con Firmas_20090928_EBC ADELA LOLI_JUDITH_VERONICA" xfId="1329"/>
    <cellStyle name="%_Pto1327-1-07_Hoja Resumen Con Firmas_Cob-0105 Pilcocota" xfId="1330"/>
    <cellStyle name="%_Pto1327-1-07_Hoja Resumen Con Firmas_Cob-0105 Pilcocota_OFE UMBE _(Ref. 20-04-11)" xfId="1331"/>
    <cellStyle name="%_Pto1327-1-07_Hoja Resumen Con Firmas_Cob-0105 Pilcocota_RESUMEN DE HOJA DE OFERTA Y LIQUIDACION" xfId="1332"/>
    <cellStyle name="%_Pto1327-1-07_Hoja Resumen Con Firmas_EBC TOCNOPE" xfId="1333"/>
    <cellStyle name="%_Pto1327-1-07_Hoja Resumen Con Firmas_MOntelima" xfId="1334"/>
    <cellStyle name="%_Pto1327-1-07_Hoja Resumen Con Firmas_OFE UMBE _(Ref. 20-04-11)" xfId="1335"/>
    <cellStyle name="%_Pto1327-1-07_Hoja Resumen Con Firmas_OFERTA DE GE - MONTE LOS OLIVOS - SIN TANQUES" xfId="1336"/>
    <cellStyle name="%_Pto1327-1-07_Hoja Resumen Con Firmas_RESUMEN DE HOJA DE OFERTA Y LIQUIDACION" xfId="1337"/>
    <cellStyle name="%_Pto1327-1-07_Rep Choloque 30m - II" xfId="1338"/>
    <cellStyle name="%_Pto1327-1-07_Rep Choloque 30m - II_20090928_EBC ADELA LOLI_JUDITH_VERONICA" xfId="1339"/>
    <cellStyle name="%_Pto1327-1-07_Rep Choloque 30m - II_Cob-0105 Pilcocota" xfId="1340"/>
    <cellStyle name="%_Pto1327-1-07_Rep Choloque 30m - II_Cob-0105 Pilcocota_OFE UMBE _(Ref. 20-04-11)" xfId="1341"/>
    <cellStyle name="%_Pto1327-1-07_Rep Choloque 30m - II_Cob-0105 Pilcocota_RESUMEN DE HOJA DE OFERTA Y LIQUIDACION" xfId="1342"/>
    <cellStyle name="%_Pto1327-1-07_Rep Choloque 30m - II_EBC TOCNOPE" xfId="1343"/>
    <cellStyle name="%_Pto1327-1-07_Rep Choloque 30m - II_MOntelima" xfId="1344"/>
    <cellStyle name="%_Pto1327-1-07_Rep Choloque 30m - II_OFE UMBE _(Ref. 20-04-11)" xfId="1345"/>
    <cellStyle name="%_Pto1327-1-07_Rep Choloque 30m - II_OFERTA DE GE - MONTE LOS OLIVOS - SIN TANQUES" xfId="1346"/>
    <cellStyle name="%_Pto1327-1-07_Rep Choloque 30m - II_RESUMEN DE HOJA DE OFERTA Y LIQUIDACION" xfId="1347"/>
    <cellStyle name="%_Pto1328-3-07" xfId="1348"/>
    <cellStyle name="%_Pto1328-3-07_Hoja Resumen Con Firmas" xfId="1349"/>
    <cellStyle name="%_Pto1328-3-07_Hoja Resumen Con Firmas_20090928_EBC ADELA LOLI_JUDITH_VERONICA" xfId="1350"/>
    <cellStyle name="%_Pto1328-3-07_Hoja Resumen Con Firmas_Cob-0105 Pilcocota" xfId="1351"/>
    <cellStyle name="%_Pto1328-3-07_Hoja Resumen Con Firmas_Cob-0105 Pilcocota_OFE UMBE _(Ref. 20-04-11)" xfId="1352"/>
    <cellStyle name="%_Pto1328-3-07_Hoja Resumen Con Firmas_Cob-0105 Pilcocota_RESUMEN DE HOJA DE OFERTA Y LIQUIDACION" xfId="1353"/>
    <cellStyle name="%_Pto1328-3-07_Hoja Resumen Con Firmas_EBC TOCNOPE" xfId="1354"/>
    <cellStyle name="%_Pto1328-3-07_Hoja Resumen Con Firmas_MOntelima" xfId="1355"/>
    <cellStyle name="%_Pto1328-3-07_Hoja Resumen Con Firmas_OFE UMBE _(Ref. 20-04-11)" xfId="1356"/>
    <cellStyle name="%_Pto1328-3-07_Hoja Resumen Con Firmas_OFERTA DE GE - MONTE LOS OLIVOS - SIN TANQUES" xfId="1357"/>
    <cellStyle name="%_Pto1328-3-07_Hoja Resumen Con Firmas_RESUMEN DE HOJA DE OFERTA Y LIQUIDACION" xfId="1358"/>
    <cellStyle name="%_Pto1328-3-07_Rep Choloque 30m - II" xfId="1359"/>
    <cellStyle name="%_Pto1328-3-07_Rep Choloque 30m - II_20090928_EBC ADELA LOLI_JUDITH_VERONICA" xfId="1360"/>
    <cellStyle name="%_Pto1328-3-07_Rep Choloque 30m - II_Cob-0105 Pilcocota" xfId="1361"/>
    <cellStyle name="%_Pto1328-3-07_Rep Choloque 30m - II_Cob-0105 Pilcocota_OFE UMBE _(Ref. 20-04-11)" xfId="1362"/>
    <cellStyle name="%_Pto1328-3-07_Rep Choloque 30m - II_Cob-0105 Pilcocota_RESUMEN DE HOJA DE OFERTA Y LIQUIDACION" xfId="1363"/>
    <cellStyle name="%_Pto1328-3-07_Rep Choloque 30m - II_EBC TOCNOPE" xfId="1364"/>
    <cellStyle name="%_Pto1328-3-07_Rep Choloque 30m - II_MOntelima" xfId="1365"/>
    <cellStyle name="%_Pto1328-3-07_Rep Choloque 30m - II_OFE UMBE _(Ref. 20-04-11)" xfId="1366"/>
    <cellStyle name="%_Pto1328-3-07_Rep Choloque 30m - II_OFERTA DE GE - MONTE LOS OLIVOS - SIN TANQUES" xfId="1367"/>
    <cellStyle name="%_Pto1328-3-07_Rep Choloque 30m - II_RESUMEN DE HOJA DE OFERTA Y LIQUIDACION" xfId="1368"/>
    <cellStyle name="%_RECREO OA-2008 Pto0034-1-08" xfId="1369"/>
    <cellStyle name="%_RECREO OA-2008 Pto0034-1-08_OFE PUEBLO NUEVO SUR DE ICA" xfId="1370"/>
    <cellStyle name="%_RECREO OA-2008 Pto0034-1-08_OFE PUEBLO NUEVO SUR DE ICA 2" xfId="1371"/>
    <cellStyle name="%_Rep Choloque 30m - II" xfId="1372"/>
    <cellStyle name="%_Rep Choloque 30m - II_20090928_EBC ADELA LOLI_JUDITH_VERONICA" xfId="1373"/>
    <cellStyle name="%_Rep Choloque 30m - II_Cob-0105 Pilcocota" xfId="1374"/>
    <cellStyle name="%_Rep Choloque 30m - II_Cob-0105 Pilcocota_OFE UMBE _(Ref. 20-04-11)" xfId="1375"/>
    <cellStyle name="%_Rep Choloque 30m - II_Cob-0105 Pilcocota_RESUMEN DE HOJA DE OFERTA Y LIQUIDACION" xfId="1376"/>
    <cellStyle name="%_Rep Choloque 30m - II_EBC TOCNOPE" xfId="1377"/>
    <cellStyle name="%_Rep Choloque 30m - II_MOntelima" xfId="1378"/>
    <cellStyle name="%_Rep Choloque 30m - II_OFE UMBE _(Ref. 20-04-11)" xfId="1379"/>
    <cellStyle name="%_Rep Choloque 30m - II_OFERTA DE GE - MONTE LOS OLIVOS - SIN TANQUES" xfId="1380"/>
    <cellStyle name="%_Rep Choloque 30m - II_RESUMEN DE HOJA DE OFERTA Y LIQUIDACION" xfId="1381"/>
    <cellStyle name="%_RESUMEN DE HOJA DE OFERTA Y LIQUIDACION" xfId="1382"/>
    <cellStyle name="%_SAN MARTIN" xfId="1383"/>
    <cellStyle name="%_SAN MARTIN_ejemplo" xfId="1384"/>
    <cellStyle name="%_SAN MARTIN_Hoja Resumen Con Firmas" xfId="1385"/>
    <cellStyle name="%_SAN MARTIN_Rep Choloque 30m - II" xfId="1386"/>
    <cellStyle name="%_SISTEMA DE TIERRA - MASITRANCA" xfId="1387"/>
    <cellStyle name="%_SISTEMA DE TIERRA - MASITRANCA_Hoja Resumen Con Firmas" xfId="1388"/>
    <cellStyle name="%_SISTEMA DE TIERRA - MASITRANCA_Hoja Resumen Con Firmas_20090928_EBC ADELA LOLI_JUDITH_VERONICA" xfId="1389"/>
    <cellStyle name="%_SISTEMA DE TIERRA - MASITRANCA_Hoja Resumen Con Firmas_Cob-0105 Pilcocota" xfId="1390"/>
    <cellStyle name="%_SISTEMA DE TIERRA - MASITRANCA_Hoja Resumen Con Firmas_Cob-0105 Pilcocota_OFE UMBE _(Ref. 20-04-11)" xfId="1391"/>
    <cellStyle name="%_SISTEMA DE TIERRA - MASITRANCA_Hoja Resumen Con Firmas_Cob-0105 Pilcocota_RESUMEN DE HOJA DE OFERTA Y LIQUIDACION" xfId="1392"/>
    <cellStyle name="%_SISTEMA DE TIERRA - MASITRANCA_Hoja Resumen Con Firmas_EBC TOCNOPE" xfId="1393"/>
    <cellStyle name="%_SISTEMA DE TIERRA - MASITRANCA_Hoja Resumen Con Firmas_MOntelima" xfId="1394"/>
    <cellStyle name="%_SISTEMA DE TIERRA - MASITRANCA_Hoja Resumen Con Firmas_OFE UMBE _(Ref. 20-04-11)" xfId="1395"/>
    <cellStyle name="%_SISTEMA DE TIERRA - MASITRANCA_Hoja Resumen Con Firmas_OFERTA DE GE - MONTE LOS OLIVOS - SIN TANQUES" xfId="1396"/>
    <cellStyle name="%_SISTEMA DE TIERRA - MASITRANCA_Hoja Resumen Con Firmas_RESUMEN DE HOJA DE OFERTA Y LIQUIDACION" xfId="1397"/>
    <cellStyle name="%_SISTEMA DE TIERRA - MASITRANCA_Rep Choloque 30m - II" xfId="1398"/>
    <cellStyle name="%_SISTEMA DE TIERRA - MASITRANCA_Rep Choloque 30m - II_20090928_EBC ADELA LOLI_JUDITH_VERONICA" xfId="1399"/>
    <cellStyle name="%_SISTEMA DE TIERRA - MASITRANCA_Rep Choloque 30m - II_Cob-0105 Pilcocota" xfId="1400"/>
    <cellStyle name="%_SISTEMA DE TIERRA - MASITRANCA_Rep Choloque 30m - II_Cob-0105 Pilcocota_OFE UMBE _(Ref. 20-04-11)" xfId="1401"/>
    <cellStyle name="%_SISTEMA DE TIERRA - MASITRANCA_Rep Choloque 30m - II_Cob-0105 Pilcocota_RESUMEN DE HOJA DE OFERTA Y LIQUIDACION" xfId="1402"/>
    <cellStyle name="%_SISTEMA DE TIERRA - MASITRANCA_Rep Choloque 30m - II_EBC TOCNOPE" xfId="1403"/>
    <cellStyle name="%_SISTEMA DE TIERRA - MASITRANCA_Rep Choloque 30m - II_MOntelima" xfId="1404"/>
    <cellStyle name="%_SISTEMA DE TIERRA - MASITRANCA_Rep Choloque 30m - II_OFE UMBE _(Ref. 20-04-11)" xfId="1405"/>
    <cellStyle name="%_SISTEMA DE TIERRA - MASITRANCA_Rep Choloque 30m - II_OFERTA DE GE - MONTE LOS OLIVOS - SIN TANQUES" xfId="1406"/>
    <cellStyle name="%_SISTEMA DE TIERRA - MASITRANCA_Rep Choloque 30m - II_RESUMEN DE HOJA DE OFERTA Y LIQUIDACION" xfId="1407"/>
    <cellStyle name="%_Subcon Costs TeMM 2008 (W40)" xfId="1408"/>
    <cellStyle name="%_TISA 2008" xfId="1409"/>
    <cellStyle name="%_TORRE DESMONTABLE  DE 30M" xfId="1410"/>
    <cellStyle name="%_TRANSPORTE(1)ericsson" xfId="1411"/>
    <cellStyle name="%_TRANSPORTE(1)ericsson_20090514-DURAZNOS 2-Diana&amp;Jose-R1" xfId="1412"/>
    <cellStyle name="%_TRANSPORTE(1)ericsson_20090514-DURAZNOS 2-Diana&amp;Jose-R1_OFE UMBE _(Ref. 20-04-11)" xfId="1413"/>
    <cellStyle name="%_TRANSPORTE(1)ericsson_20090514-DURAZNOS 2-Diana&amp;Jose-R1_RESUMEN DE HOJA DE OFERTA Y LIQUIDACION" xfId="1414"/>
    <cellStyle name="%_TRANSPORTE(1)ericsson_20090609 EBC VILLA EDEN-Alberto-Oscar" xfId="1415"/>
    <cellStyle name="%_TRANSPORTE(1)ericsson_20090716-AYARSA-ECELYNJOSE_final tm" xfId="1416"/>
    <cellStyle name="%_TRANSPORTE(1)ericsson_20090716-AYARSA-ECELYNJOSE_final tm_Cob-0105 Pilcocota" xfId="1417"/>
    <cellStyle name="%_TRANSPORTE(1)ericsson_20090716-AYARSA-ECELYNJOSE_final tm_Cob-0105 Pilcocota_OFE UMBE _(Ref. 20-04-11)" xfId="1418"/>
    <cellStyle name="%_TRANSPORTE(1)ericsson_20090716-AYARSA-ECELYNJOSE_final tm_Cob-0105 Pilcocota_RESUMEN DE HOJA DE OFERTA Y LIQUIDACION" xfId="1419"/>
    <cellStyle name="%_TRANSPORTE(1)ericsson_20090716-AYARSA-ECELYNJOSE_final tm_MOntelima" xfId="1420"/>
    <cellStyle name="%_TRANSPORTE(1)ericsson_20090716-AYARSA-ECELYNJOSE_final tm_OFE UMBE _(Ref. 20-04-11)" xfId="1421"/>
    <cellStyle name="%_TRANSPORTE(1)ericsson_20090716-AYARSA-ECELYNJOSE_final tm_RESUMEN DE HOJA DE OFERTA Y LIQUIDACION" xfId="1422"/>
    <cellStyle name="%_TRANSPORTE(1)ericsson_DURAZNOS 2 OFE" xfId="1423"/>
    <cellStyle name="%_TRANSPORTE(1)ericsson_DURAZNOS 2 OFE_OFE UMBE _(Ref. 20-04-11)" xfId="1424"/>
    <cellStyle name="%_TRANSPORTE(1)ericsson_DURAZNOS 2 OFE_RESUMEN DE HOJA DE OFERTA Y LIQUIDACION" xfId="1425"/>
    <cellStyle name="%_TRANSPORTE(1)ericsson_PES0S para acarreo" xfId="1426"/>
    <cellStyle name="%_TRANSPORTE(1)ericsson_PES0S para acarreo_20090928_EBC ADELA LOLI_JUDITH_VERONICA" xfId="1427"/>
    <cellStyle name="%_TRANSPORTE(1)ericsson_PES0S para acarreo_Cob-0105 Pilcocota" xfId="1428"/>
    <cellStyle name="%_TRANSPORTE(1)ericsson_PES0S para acarreo_Cob-0105 Pilcocota_OFE UMBE _(Ref. 20-04-11)" xfId="1429"/>
    <cellStyle name="%_TRANSPORTE(1)ericsson_PES0S para acarreo_Cob-0105 Pilcocota_RESUMEN DE HOJA DE OFERTA Y LIQUIDACION" xfId="1430"/>
    <cellStyle name="%_TRANSPORTE(1)ericsson_PES0S para acarreo_EBC TOCNOPE" xfId="1431"/>
    <cellStyle name="%_TRANSPORTE(1)ericsson_PES0S para acarreo_MOntelima" xfId="1432"/>
    <cellStyle name="%_TRANSPORTE(1)ericsson_PES0S para acarreo_OFE UMBE _(Ref. 20-04-11)" xfId="1433"/>
    <cellStyle name="%_TRANSPORTE(1)ericsson_PES0S para acarreo_OFERTA DE GE - MONTE LOS OLIVOS - SIN TANQUES" xfId="1434"/>
    <cellStyle name="%_TRANSPORTE(1)ericsson_PES0S para acarreo_RESUMEN DE HOJA DE OFERTA Y LIQUIDACION" xfId="1435"/>
    <cellStyle name="%_TRANSPORTE(1)ericsson_Rep Choloque 30m - II" xfId="1436"/>
    <cellStyle name="%_TRANSPORTE(1)ericsson_Rep Choloque 30m - II_20090928_EBC ADELA LOLI_JUDITH_VERONICA" xfId="1437"/>
    <cellStyle name="%_TRANSPORTE(1)ericsson_Rep Choloque 30m - II_Cob-0105 Pilcocota" xfId="1438"/>
    <cellStyle name="%_TRANSPORTE(1)ericsson_Rep Choloque 30m - II_Cob-0105 Pilcocota_OFE UMBE _(Ref. 20-04-11)" xfId="1439"/>
    <cellStyle name="%_TRANSPORTE(1)ericsson_Rep Choloque 30m - II_Cob-0105 Pilcocota_RESUMEN DE HOJA DE OFERTA Y LIQUIDACION" xfId="1440"/>
    <cellStyle name="%_TRANSPORTE(1)ericsson_Rep Choloque 30m - II_EBC TOCNOPE" xfId="1441"/>
    <cellStyle name="%_TRANSPORTE(1)ericsson_Rep Choloque 30m - II_MOntelima" xfId="1442"/>
    <cellStyle name="%_TRANSPORTE(1)ericsson_Rep Choloque 30m - II_OFE UMBE _(Ref. 20-04-11)" xfId="1443"/>
    <cellStyle name="%_TRANSPORTE(1)ericsson_Rep Choloque 30m - II_OFERTA DE GE - MONTE LOS OLIVOS - SIN TANQUES" xfId="1444"/>
    <cellStyle name="%_TRANSPORTE(1)ericsson_Rep Choloque 30m - II_RESUMEN DE HOJA DE OFERTA Y LIQUIDACION" xfId="1445"/>
    <cellStyle name="%_TRANSPORTE(1)ericsson_URA GRAU" xfId="1446"/>
    <cellStyle name="%_TRANSPORTES" xfId="1447"/>
    <cellStyle name="%_TRANSPORTES_ejemplo" xfId="1448"/>
    <cellStyle name="%_TRANSPORTES_Rep Choloque 30m - II" xfId="1449"/>
    <cellStyle name="%_TRES ARCOS-Revision 2 " xfId="1450"/>
    <cellStyle name="%_TRES ARCOS-Revision 2  2" xfId="1451"/>
    <cellStyle name="%_TRES ARCOS-Revision 2 _20090903_PALLANCHACRA_JUDITH_JOSE (3)" xfId="1452"/>
    <cellStyle name="%_TRES ARCOS-Revision 2 _20090907_CHIARA_JUDITH_JOSE" xfId="1453"/>
    <cellStyle name="%_TRES ARCOS-Revision 2 _20090907_URA ALTO CAIMA_JUDITH_SEGUNDO" xfId="1454"/>
    <cellStyle name="%_TRES ARCOS-Revision 2 _20090928_EBC ADELA LOLI_JUDITH_VERONICA" xfId="1455"/>
    <cellStyle name="%_TRES ARCOS-Revision 2 _20091120_Dalias_JUDITH_MARIANA" xfId="1456"/>
    <cellStyle name="%_TRES ARCOS-Revision 2 _20100217_Jose_Evelyn_Vila Vila" xfId="1457"/>
    <cellStyle name="%_TRES ARCOS-Revision 2 _EBC AGRICULTURA - R1" xfId="1458"/>
    <cellStyle name="%_TRES ARCOS-Revision 2 _EBC TOCNOPE" xfId="1459"/>
    <cellStyle name="%_TRES ARCOS-Revision 2 _Liq. Guindas" xfId="1460"/>
    <cellStyle name="%_URA GRAU" xfId="1461"/>
    <cellStyle name="%_URA GRAU_Cob-0105 Pilcocota" xfId="1462"/>
    <cellStyle name="%_URA GRAU_Cob-0105 Pilcocota_OFE UMBE _(Ref. 20-04-11)" xfId="1463"/>
    <cellStyle name="%_URA GRAU_Cob-0105 Pilcocota_RESUMEN DE HOJA DE OFERTA Y LIQUIDACION" xfId="1464"/>
    <cellStyle name="%_URA GRAU_MOntelima" xfId="1465"/>
    <cellStyle name="%_URA GRAU_OFE UMBE _(Ref. 20-04-11)" xfId="1466"/>
    <cellStyle name="%_URA GRAU_OFE UMBE _(Ref. 20-04-11) 2" xfId="1467"/>
    <cellStyle name="%_URA GRAU_RESUMEN DE HOJA DE OFERTA Y LIQUIDACION" xfId="1468"/>
    <cellStyle name="%_Volumetrico ahmsa v1" xfId="1469"/>
    <cellStyle name="(4) STM-1 (LECT)_x000d__x000a_PL-4579-M-039-99_x000d__x000a_FALTA APE" xfId="1470"/>
    <cellStyle name="_0 - 3G Spain BOM Summary" xfId="1471"/>
    <cellStyle name="_0 - 3G Spain BOM Summary_EBC CHOROPAMPA_Inicial_Aenor_Rev1" xfId="1472"/>
    <cellStyle name="_0 - 3G Spain BOM Summary_OFE PUEBLO NUEVO SUR DE ICA" xfId="1473"/>
    <cellStyle name="_0 - 3G Spain BOM Summary_OFE PUEBLO NUEVO SUR DE ICA 2" xfId="1474"/>
    <cellStyle name="_01- Price Book TI 3G TEM COL (NSN-SS)" xfId="1475"/>
    <cellStyle name="_13_05_2008 Metrado Yuracmayo H72M" xfId="1476"/>
    <cellStyle name="_1xRTT 3rd Carrier B-Form V.02 221102" xfId="1477"/>
    <cellStyle name="_2. Planillas de Cotizacion Muxes (Ericsson, Rev.A)" xfId="1478"/>
    <cellStyle name="_2. Planillas de Cotizacion Muxes (Ericsson, Rev.A)_Hoja Resumen Con Firmas" xfId="1479"/>
    <cellStyle name="_2. Planillas de Cotizacion Muxes (Ericsson, Rev.A)_Hoja Resumen Con Firmas_20090928_EBC ADELA LOLI_JUDITH_VERONICA" xfId="1480"/>
    <cellStyle name="_2. Planillas de Cotizacion Muxes (Ericsson, Rev.A)_Hoja Resumen Con Firmas_Cob-0105 Pilcocota" xfId="1481"/>
    <cellStyle name="_2. Planillas de Cotizacion Muxes (Ericsson, Rev.A)_Hoja Resumen Con Firmas_Cob-0105 Pilcocota_OFE UMBE _(Ref. 20-04-11)" xfId="1482"/>
    <cellStyle name="_2. Planillas de Cotizacion Muxes (Ericsson, Rev.A)_Hoja Resumen Con Firmas_Cob-0105 Pilcocota_RESUMEN DE HOJA DE OFERTA Y LIQUIDACION" xfId="1483"/>
    <cellStyle name="_2. Planillas de Cotizacion Muxes (Ericsson, Rev.A)_Hoja Resumen Con Firmas_EBC TOCNOPE" xfId="1484"/>
    <cellStyle name="_2. Planillas de Cotizacion Muxes (Ericsson, Rev.A)_Hoja Resumen Con Firmas_MOntelima" xfId="1485"/>
    <cellStyle name="_2. Planillas de Cotizacion Muxes (Ericsson, Rev.A)_Hoja Resumen Con Firmas_OFE UMBE _(Ref. 20-04-11)" xfId="1486"/>
    <cellStyle name="_2. Planillas de Cotizacion Muxes (Ericsson, Rev.A)_Hoja Resumen Con Firmas_OFERTA DE GE - MONTE LOS OLIVOS - SIN TANQUES" xfId="1487"/>
    <cellStyle name="_2. Planillas de Cotizacion Muxes (Ericsson, Rev.A)_Hoja Resumen Con Firmas_RESUMEN DE HOJA DE OFERTA Y LIQUIDACION" xfId="1488"/>
    <cellStyle name="_2. Planillas de Cotizacion Muxes (Ericsson, Rev.A)_Rep Choloque 30m - II" xfId="1489"/>
    <cellStyle name="_2. Planillas de Cotizacion Muxes (Ericsson, Rev.A)_Rep Choloque 30m - II_20090928_EBC ADELA LOLI_JUDITH_VERONICA" xfId="1490"/>
    <cellStyle name="_2. Planillas de Cotizacion Muxes (Ericsson, Rev.A)_Rep Choloque 30m - II_Cob-0105 Pilcocota" xfId="1491"/>
    <cellStyle name="_2. Planillas de Cotizacion Muxes (Ericsson, Rev.A)_Rep Choloque 30m - II_Cob-0105 Pilcocota_OFE UMBE _(Ref. 20-04-11)" xfId="1492"/>
    <cellStyle name="_2. Planillas de Cotizacion Muxes (Ericsson, Rev.A)_Rep Choloque 30m - II_Cob-0105 Pilcocota_RESUMEN DE HOJA DE OFERTA Y LIQUIDACION" xfId="1493"/>
    <cellStyle name="_2. Planillas de Cotizacion Muxes (Ericsson, Rev.A)_Rep Choloque 30m - II_EBC TOCNOPE" xfId="1494"/>
    <cellStyle name="_2. Planillas de Cotizacion Muxes (Ericsson, Rev.A)_Rep Choloque 30m - II_MOntelima" xfId="1495"/>
    <cellStyle name="_2. Planillas de Cotizacion Muxes (Ericsson, Rev.A)_Rep Choloque 30m - II_OFE UMBE _(Ref. 20-04-11)" xfId="1496"/>
    <cellStyle name="_2. Planillas de Cotizacion Muxes (Ericsson, Rev.A)_Rep Choloque 30m - II_OFERTA DE GE - MONTE LOS OLIVOS - SIN TANQUES" xfId="1497"/>
    <cellStyle name="_2. Planillas de Cotizacion Muxes (Ericsson, Rev.A)_Rep Choloque 30m - II_RESUMEN DE HOJA DE OFERTA Y LIQUIDACION" xfId="1498"/>
    <cellStyle name="_2.Planilla de Cotización Radios (Ericsson, Rev.A)" xfId="1499"/>
    <cellStyle name="_2.Planilla de Cotización Radios (Ericsson, Rev.A)_Hoja Resumen Con Firmas" xfId="1500"/>
    <cellStyle name="_2.Planilla de Cotización Radios (Ericsson, Rev.A)_Hoja Resumen Con Firmas_20090928_EBC ADELA LOLI_JUDITH_VERONICA" xfId="1501"/>
    <cellStyle name="_2.Planilla de Cotización Radios (Ericsson, Rev.A)_Hoja Resumen Con Firmas_Cob-0105 Pilcocota" xfId="1502"/>
    <cellStyle name="_2.Planilla de Cotización Radios (Ericsson, Rev.A)_Hoja Resumen Con Firmas_Cob-0105 Pilcocota_OFE UMBE _(Ref. 20-04-11)" xfId="1503"/>
    <cellStyle name="_2.Planilla de Cotización Radios (Ericsson, Rev.A)_Hoja Resumen Con Firmas_Cob-0105 Pilcocota_RESUMEN DE HOJA DE OFERTA Y LIQUIDACION" xfId="1504"/>
    <cellStyle name="_2.Planilla de Cotización Radios (Ericsson, Rev.A)_Hoja Resumen Con Firmas_EBC TOCNOPE" xfId="1505"/>
    <cellStyle name="_2.Planilla de Cotización Radios (Ericsson, Rev.A)_Hoja Resumen Con Firmas_MOntelima" xfId="1506"/>
    <cellStyle name="_2.Planilla de Cotización Radios (Ericsson, Rev.A)_Hoja Resumen Con Firmas_OFE UMBE _(Ref. 20-04-11)" xfId="1507"/>
    <cellStyle name="_2.Planilla de Cotización Radios (Ericsson, Rev.A)_Hoja Resumen Con Firmas_OFERTA DE GE - MONTE LOS OLIVOS - SIN TANQUES" xfId="1508"/>
    <cellStyle name="_2.Planilla de Cotización Radios (Ericsson, Rev.A)_Hoja Resumen Con Firmas_RESUMEN DE HOJA DE OFERTA Y LIQUIDACION" xfId="1509"/>
    <cellStyle name="_2.Planilla de Cotización Radios (Ericsson, Rev.A)_Rep Choloque 30m - II" xfId="1510"/>
    <cellStyle name="_2.Planilla de Cotización Radios (Ericsson, Rev.A)_Rep Choloque 30m - II_20090928_EBC ADELA LOLI_JUDITH_VERONICA" xfId="1511"/>
    <cellStyle name="_2.Planilla de Cotización Radios (Ericsson, Rev.A)_Rep Choloque 30m - II_Cob-0105 Pilcocota" xfId="1512"/>
    <cellStyle name="_2.Planilla de Cotización Radios (Ericsson, Rev.A)_Rep Choloque 30m - II_Cob-0105 Pilcocota_OFE UMBE _(Ref. 20-04-11)" xfId="1513"/>
    <cellStyle name="_2.Planilla de Cotización Radios (Ericsson, Rev.A)_Rep Choloque 30m - II_Cob-0105 Pilcocota_RESUMEN DE HOJA DE OFERTA Y LIQUIDACION" xfId="1514"/>
    <cellStyle name="_2.Planilla de Cotización Radios (Ericsson, Rev.A)_Rep Choloque 30m - II_EBC TOCNOPE" xfId="1515"/>
    <cellStyle name="_2.Planilla de Cotización Radios (Ericsson, Rev.A)_Rep Choloque 30m - II_MOntelima" xfId="1516"/>
    <cellStyle name="_2.Planilla de Cotización Radios (Ericsson, Rev.A)_Rep Choloque 30m - II_OFE UMBE _(Ref. 20-04-11)" xfId="1517"/>
    <cellStyle name="_2.Planilla de Cotización Radios (Ericsson, Rev.A)_Rep Choloque 30m - II_OFERTA DE GE - MONTE LOS OLIVOS - SIN TANQUES" xfId="1518"/>
    <cellStyle name="_2.Planilla de Cotización Radios (Ericsson, Rev.A)_Rep Choloque 30m - II_RESUMEN DE HOJA DE OFERTA Y LIQUIDACION" xfId="1519"/>
    <cellStyle name="_2006 RESUMO GSM - PROJETO OTIMIZADO DEPOIS DE REUNIAO EM PORTUGAL - GARANTIA ATÉ DEZ 2007 revA" xfId="1520"/>
    <cellStyle name="_20090514-DURAZNOS 2-Diana&amp;Jose-R1" xfId="1521"/>
    <cellStyle name="_4.1 a Price list 25" xfId="1522"/>
    <cellStyle name="_4.1 a Price list 25_Hoja Resumen Con Firmas" xfId="1523"/>
    <cellStyle name="_4.1 a Price list 25_Hoja Resumen Con Firmas_20090928_EBC ADELA LOLI_JUDITH_VERONICA" xfId="1524"/>
    <cellStyle name="_4.1 a Price list 25_Hoja Resumen Con Firmas_Cob-0105 Pilcocota" xfId="1525"/>
    <cellStyle name="_4.1 a Price list 25_Hoja Resumen Con Firmas_Cob-0105 Pilcocota_OFE UMBE _(Ref. 20-04-11)" xfId="1526"/>
    <cellStyle name="_4.1 a Price list 25_Hoja Resumen Con Firmas_Cob-0105 Pilcocota_RESUMEN DE HOJA DE OFERTA Y LIQUIDACION" xfId="1527"/>
    <cellStyle name="_4.1 a Price list 25_Hoja Resumen Con Firmas_EBC TOCNOPE" xfId="1528"/>
    <cellStyle name="_4.1 a Price list 25_Hoja Resumen Con Firmas_MOntelima" xfId="1529"/>
    <cellStyle name="_4.1 a Price list 25_Hoja Resumen Con Firmas_OFE UMBE _(Ref. 20-04-11)" xfId="1530"/>
    <cellStyle name="_4.1 a Price list 25_Hoja Resumen Con Firmas_OFERTA DE GE - MONTE LOS OLIVOS - SIN TANQUES" xfId="1531"/>
    <cellStyle name="_4.1 a Price list 25_Hoja Resumen Con Firmas_RESUMEN DE HOJA DE OFERTA Y LIQUIDACION" xfId="1532"/>
    <cellStyle name="_4.1 a Price list 25_Rep Choloque 30m - II" xfId="1533"/>
    <cellStyle name="_4.1 a Price list 25_Rep Choloque 30m - II_20090928_EBC ADELA LOLI_JUDITH_VERONICA" xfId="1534"/>
    <cellStyle name="_4.1 a Price list 25_Rep Choloque 30m - II_Cob-0105 Pilcocota" xfId="1535"/>
    <cellStyle name="_4.1 a Price list 25_Rep Choloque 30m - II_Cob-0105 Pilcocota_OFE UMBE _(Ref. 20-04-11)" xfId="1536"/>
    <cellStyle name="_4.1 a Price list 25_Rep Choloque 30m - II_Cob-0105 Pilcocota_RESUMEN DE HOJA DE OFERTA Y LIQUIDACION" xfId="1537"/>
    <cellStyle name="_4.1 a Price list 25_Rep Choloque 30m - II_EBC TOCNOPE" xfId="1538"/>
    <cellStyle name="_4.1 a Price list 25_Rep Choloque 30m - II_MOntelima" xfId="1539"/>
    <cellStyle name="_4.1 a Price list 25_Rep Choloque 30m - II_OFE UMBE _(Ref. 20-04-11)" xfId="1540"/>
    <cellStyle name="_4.1 a Price list 25_Rep Choloque 30m - II_OFERTA DE GE - MONTE LOS OLIVOS - SIN TANQUES" xfId="1541"/>
    <cellStyle name="_4.1 a Price list 25_Rep Choloque 30m - II_RESUMEN DE HOJA DE OFERTA Y LIQUIDACION" xfId="1542"/>
    <cellStyle name="_5. Formato Propuesta Tottus Naciones Unidas-comerc.Rev.1" xfId="1543"/>
    <cellStyle name="_5. Formato Propuesta Tottus Naciones Unidas-comerc.Rev.1 2" xfId="1544"/>
    <cellStyle name="_acarreo BUJAM" xfId="1545"/>
    <cellStyle name="_acarreo SANTO TOMAS (EX SHAHUIN)" xfId="1546"/>
    <cellStyle name="_Acuerdo Final Nokia 11042007" xfId="1547"/>
    <cellStyle name="_ADICIONALES CA ICA_290507" xfId="1548"/>
    <cellStyle name="_ADICIONALES CA ICA_290507_20090514-DURAZNOS 2-Diana&amp;Jose-R1" xfId="1549"/>
    <cellStyle name="_ADICIONALES CA ICA_290507_20090514-DURAZNOS 2-Diana&amp;Jose-R1_OFE UMBE _(Ref. 20-04-11)" xfId="1550"/>
    <cellStyle name="_ADICIONALES CA ICA_290507_20090514-DURAZNOS 2-Diana&amp;Jose-R1_RESUMEN DE HOJA DE OFERTA Y LIQUIDACION" xfId="1551"/>
    <cellStyle name="_ADICIONALES CA ICA_290507_20090609 EBC VILLA EDEN-Alberto-Oscar" xfId="1552"/>
    <cellStyle name="_ADICIONALES CA ICA_290507_20090716-AYARSA-ECELYNJOSE_final tm" xfId="1553"/>
    <cellStyle name="_ADICIONALES CA ICA_290507_20090716-AYARSA-ECELYNJOSE_final tm_Cob-0105 Pilcocota" xfId="1554"/>
    <cellStyle name="_ADICIONALES CA ICA_290507_20090716-AYARSA-ECELYNJOSE_final tm_Cob-0105 Pilcocota_OFE UMBE _(Ref. 20-04-11)" xfId="1555"/>
    <cellStyle name="_ADICIONALES CA ICA_290507_20090716-AYARSA-ECELYNJOSE_final tm_Cob-0105 Pilcocota_RESUMEN DE HOJA DE OFERTA Y LIQUIDACION" xfId="1556"/>
    <cellStyle name="_ADICIONALES CA ICA_290507_20090716-AYARSA-ECELYNJOSE_final tm_MOntelima" xfId="1557"/>
    <cellStyle name="_ADICIONALES CA ICA_290507_20090716-AYARSA-ECELYNJOSE_final tm_OFE UMBE _(Ref. 20-04-11)" xfId="1558"/>
    <cellStyle name="_ADICIONALES CA ICA_290507_20090716-AYARSA-ECELYNJOSE_final tm_RESUMEN DE HOJA DE OFERTA Y LIQUIDACION" xfId="1559"/>
    <cellStyle name="_ADICIONALES CA ICA_290507_DURAZNOS 2 OFE" xfId="1560"/>
    <cellStyle name="_ADICIONALES CA ICA_290507_DURAZNOS 2 OFE_OFE UMBE _(Ref. 20-04-11)" xfId="1561"/>
    <cellStyle name="_ADICIONALES CA ICA_290507_DURAZNOS 2 OFE_RESUMEN DE HOJA DE OFERTA Y LIQUIDACION" xfId="1562"/>
    <cellStyle name="_ADICIONALES CA ICA_290507_EBC CHOROPAMPA_Inicial_Aenor_Rev1" xfId="1563"/>
    <cellStyle name="_ADICIONALES CA ICA_290507_EBC CHOROPAMPA_Inicial_Aenor_Rev1_EBC Coronel Bardales_Inicial_Rev 1" xfId="1564"/>
    <cellStyle name="_ADICIONALES CA ICA_290507_EBC CHOROPAMPA_Inicial_Aenor_Rev1_EBC molinera tropical_Inicial_Rev 1" xfId="1565"/>
    <cellStyle name="_ADICIONALES CA ICA_290507_EBC CHOROPAMPA_Inicial_Aenor_Rev1_EPPSA METRADO!" xfId="1566"/>
    <cellStyle name="_ADICIONALES CA ICA_290507_Hoja Resumen Con Firmas" xfId="1567"/>
    <cellStyle name="_ADICIONALES CA ICA_290507_Hoja Resumen Con Firmas_20090928_EBC ADELA LOLI_JUDITH_VERONICA" xfId="1568"/>
    <cellStyle name="_ADICIONALES CA ICA_290507_Hoja Resumen Con Firmas_Cob-0105 Pilcocota" xfId="1569"/>
    <cellStyle name="_ADICIONALES CA ICA_290507_Hoja Resumen Con Firmas_Cob-0105 Pilcocota_OFE UMBE _(Ref. 20-04-11)" xfId="1570"/>
    <cellStyle name="_ADICIONALES CA ICA_290507_Hoja Resumen Con Firmas_Cob-0105 Pilcocota_RESUMEN DE HOJA DE OFERTA Y LIQUIDACION" xfId="1571"/>
    <cellStyle name="_ADICIONALES CA ICA_290507_Hoja Resumen Con Firmas_EBC TOCNOPE" xfId="1572"/>
    <cellStyle name="_ADICIONALES CA ICA_290507_Hoja Resumen Con Firmas_MOntelima" xfId="1573"/>
    <cellStyle name="_ADICIONALES CA ICA_290507_Hoja Resumen Con Firmas_OFE UMBE _(Ref. 20-04-11)" xfId="1574"/>
    <cellStyle name="_ADICIONALES CA ICA_290507_Hoja Resumen Con Firmas_OFERTA DE GE - MONTE LOS OLIVOS - SIN TANQUES" xfId="1575"/>
    <cellStyle name="_ADICIONALES CA ICA_290507_Hoja Resumen Con Firmas_RESUMEN DE HOJA DE OFERTA Y LIQUIDACION" xfId="1576"/>
    <cellStyle name="_ADICIONALES CA ICA_290507_PES0S para acarreo" xfId="1577"/>
    <cellStyle name="_ADICIONALES CA ICA_290507_PES0S para acarreo_20090928_EBC ADELA LOLI_JUDITH_VERONICA" xfId="1578"/>
    <cellStyle name="_ADICIONALES CA ICA_290507_PES0S para acarreo_Cob-0105 Pilcocota" xfId="1579"/>
    <cellStyle name="_ADICIONALES CA ICA_290507_PES0S para acarreo_Cob-0105 Pilcocota_OFE UMBE _(Ref. 20-04-11)" xfId="1580"/>
    <cellStyle name="_ADICIONALES CA ICA_290507_PES0S para acarreo_Cob-0105 Pilcocota_RESUMEN DE HOJA DE OFERTA Y LIQUIDACION" xfId="1581"/>
    <cellStyle name="_ADICIONALES CA ICA_290507_PES0S para acarreo_EBC TOCNOPE" xfId="1582"/>
    <cellStyle name="_ADICIONALES CA ICA_290507_PES0S para acarreo_MOntelima" xfId="1583"/>
    <cellStyle name="_ADICIONALES CA ICA_290507_PES0S para acarreo_OFE UMBE _(Ref. 20-04-11)" xfId="1584"/>
    <cellStyle name="_ADICIONALES CA ICA_290507_PES0S para acarreo_OFERTA DE GE - MONTE LOS OLIVOS - SIN TANQUES" xfId="1585"/>
    <cellStyle name="_ADICIONALES CA ICA_290507_PES0S para acarreo_RESUMEN DE HOJA DE OFERTA Y LIQUIDACION" xfId="1586"/>
    <cellStyle name="_ADICIONALES CA ICA_290507_Rep Choloque 30m - II" xfId="1587"/>
    <cellStyle name="_ADICIONALES CA ICA_290507_Rep Choloque 30m - II_20090928_EBC ADELA LOLI_JUDITH_VERONICA" xfId="1588"/>
    <cellStyle name="_ADICIONALES CA ICA_290507_Rep Choloque 30m - II_Cob-0105 Pilcocota" xfId="1589"/>
    <cellStyle name="_ADICIONALES CA ICA_290507_Rep Choloque 30m - II_Cob-0105 Pilcocota_OFE UMBE _(Ref. 20-04-11)" xfId="1590"/>
    <cellStyle name="_ADICIONALES CA ICA_290507_Rep Choloque 30m - II_Cob-0105 Pilcocota_RESUMEN DE HOJA DE OFERTA Y LIQUIDACION" xfId="1591"/>
    <cellStyle name="_ADICIONALES CA ICA_290507_Rep Choloque 30m - II_EBC TOCNOPE" xfId="1592"/>
    <cellStyle name="_ADICIONALES CA ICA_290507_Rep Choloque 30m - II_MOntelima" xfId="1593"/>
    <cellStyle name="_ADICIONALES CA ICA_290507_Rep Choloque 30m - II_OFE UMBE _(Ref. 20-04-11)" xfId="1594"/>
    <cellStyle name="_ADICIONALES CA ICA_290507_Rep Choloque 30m - II_OFERTA DE GE - MONTE LOS OLIVOS - SIN TANQUES" xfId="1595"/>
    <cellStyle name="_ADICIONALES CA ICA_290507_Rep Choloque 30m - II_RESUMEN DE HOJA DE OFERTA Y LIQUIDACION" xfId="1596"/>
    <cellStyle name="_ADICIONALES CA ICA_290507_URA GRAU" xfId="1597"/>
    <cellStyle name="_ADquisiciónEriccson" xfId="1598"/>
    <cellStyle name="_Ampliaciones" xfId="1599"/>
    <cellStyle name="_Ampliaciones_Hoja Resumen Con Firmas" xfId="1600"/>
    <cellStyle name="_Ampliaciones_Hoja Resumen Con Firmas_20090928_EBC ADELA LOLI_JUDITH_VERONICA" xfId="1601"/>
    <cellStyle name="_Ampliaciones_Hoja Resumen Con Firmas_Cob-0105 Pilcocota" xfId="1602"/>
    <cellStyle name="_Ampliaciones_Hoja Resumen Con Firmas_Cob-0105 Pilcocota_OFE UMBE _(Ref. 20-04-11)" xfId="1603"/>
    <cellStyle name="_Ampliaciones_Hoja Resumen Con Firmas_Cob-0105 Pilcocota_RESUMEN DE HOJA DE OFERTA Y LIQUIDACION" xfId="1604"/>
    <cellStyle name="_Ampliaciones_Hoja Resumen Con Firmas_EBC TOCNOPE" xfId="1605"/>
    <cellStyle name="_Ampliaciones_Hoja Resumen Con Firmas_MOntelima" xfId="1606"/>
    <cellStyle name="_Ampliaciones_Hoja Resumen Con Firmas_OFE UMBE _(Ref. 20-04-11)" xfId="1607"/>
    <cellStyle name="_Ampliaciones_Hoja Resumen Con Firmas_OFERTA DE GE - MONTE LOS OLIVOS - SIN TANQUES" xfId="1608"/>
    <cellStyle name="_Ampliaciones_Hoja Resumen Con Firmas_RESUMEN DE HOJA DE OFERTA Y LIQUIDACION" xfId="1609"/>
    <cellStyle name="_Ampliaciones_Rep Choloque 30m - II" xfId="1610"/>
    <cellStyle name="_Ampliaciones_Rep Choloque 30m - II_20090928_EBC ADELA LOLI_JUDITH_VERONICA" xfId="1611"/>
    <cellStyle name="_Ampliaciones_Rep Choloque 30m - II_Cob-0105 Pilcocota" xfId="1612"/>
    <cellStyle name="_Ampliaciones_Rep Choloque 30m - II_Cob-0105 Pilcocota_OFE UMBE _(Ref. 20-04-11)" xfId="1613"/>
    <cellStyle name="_Ampliaciones_Rep Choloque 30m - II_Cob-0105 Pilcocota_RESUMEN DE HOJA DE OFERTA Y LIQUIDACION" xfId="1614"/>
    <cellStyle name="_Ampliaciones_Rep Choloque 30m - II_EBC TOCNOPE" xfId="1615"/>
    <cellStyle name="_Ampliaciones_Rep Choloque 30m - II_MOntelima" xfId="1616"/>
    <cellStyle name="_Ampliaciones_Rep Choloque 30m - II_OFE UMBE _(Ref. 20-04-11)" xfId="1617"/>
    <cellStyle name="_Ampliaciones_Rep Choloque 30m - II_OFERTA DE GE - MONTE LOS OLIVOS - SIN TANQUES" xfId="1618"/>
    <cellStyle name="_Ampliaciones_Rep Choloque 30m - II_RESUMEN DE HOJA DE OFERTA Y LIQUIDACION" xfId="1619"/>
    <cellStyle name="_ANALISIS_COSTOS_CON_METRADOS_TECNOCOM" xfId="1620"/>
    <cellStyle name="_Anexo 16.7.2 Planilha de Preços Unitários Rede GSM  Darw" xfId="1621"/>
    <cellStyle name="_Anexo 16.7.2 Planilha de Preços Unitários Rede GSM  Darw_Hoja Resumen Con Firmas" xfId="1622"/>
    <cellStyle name="_Anexo 16.7.2 Planilha de Preços Unitários Rede GSM  Darw_Hoja Resumen Con Firmas_20090928_EBC ADELA LOLI_JUDITH_VERONICA" xfId="1623"/>
    <cellStyle name="_Anexo 16.7.2 Planilha de Preços Unitários Rede GSM  Darw_Hoja Resumen Con Firmas_EBC TOCNOPE" xfId="1624"/>
    <cellStyle name="_Anexo 16.7.2 Planilha de Preços Unitários Rede GSM  Darw_Hoja Resumen Con Firmas_OFERTA DE GE - MONTE LOS OLIVOS - SIN TANQUES" xfId="1625"/>
    <cellStyle name="_Anexo 16.7.2 Planilha de Preços Unitários Rede GSM  Darw_Rep Choloque 30m - II" xfId="1626"/>
    <cellStyle name="_Anexo 16.7.2 Planilha de Preços Unitários Rede GSM  Darw_Rep Choloque 30m - II_20090928_EBC ADELA LOLI_JUDITH_VERONICA" xfId="1627"/>
    <cellStyle name="_Anexo 16.7.2 Planilha de Preços Unitários Rede GSM  Darw_Rep Choloque 30m - II_EBC TOCNOPE" xfId="1628"/>
    <cellStyle name="_Anexo 16.7.2 Planilha de Preços Unitários Rede GSM  Darw_Rep Choloque 30m - II_OFERTA DE GE - MONTE LOS OLIVOS - SIN TANQUES" xfId="1629"/>
    <cellStyle name="_ANEXO 5 - Plantilla de Cotización y Factores de corrección OE LATAM V1" xfId="1630"/>
    <cellStyle name="_ANEXO 5bis - Factores de Correccion por País" xfId="1631"/>
    <cellStyle name="_ANX_II Precios(1)_Rev D (NRO MUCA)" xfId="1632"/>
    <cellStyle name="_ANX_II Precios(1)_Rev D (NRO MUCA)_ejemplo" xfId="1633"/>
    <cellStyle name="_ANX_II Precios(1)_Rev D (NRO MUCA)_Hoja Resumen Con Firmas" xfId="1634"/>
    <cellStyle name="_ANX_II Precios(1)_Rev D (NRO MUCA)_Rep Choloque 30m - II" xfId="1635"/>
    <cellStyle name="_ANX_II Precios(1)_Rev D (SS+HWS MUCA)" xfId="1636"/>
    <cellStyle name="_ANX_II Precios(1)_Rev D (SS+HWS MUCA)_ejemplo" xfId="1637"/>
    <cellStyle name="_ANX_II Precios(1)_Rev D (SS+HWS MUCA)_Hoja Resumen Con Firmas" xfId="1638"/>
    <cellStyle name="_ANX_II Precios(1)_Rev D (SS+HWS MUCA)_Rep Choloque 30m - II" xfId="1639"/>
    <cellStyle name="_ANX_II PRECIOS(Svs)" xfId="1640"/>
    <cellStyle name="_ANX_II PRECIOS(Svs)_ejemplo" xfId="1641"/>
    <cellStyle name="_ANX_II PRECIOS(Svs)_Hoja Resumen Con Firmas" xfId="1642"/>
    <cellStyle name="_ANX_II PRECIOS(SVS)_Nov 2, 2006_Rev. A" xfId="1643"/>
    <cellStyle name="_ANX_II PRECIOS(Svs)_Rep Choloque 30m - II" xfId="1644"/>
    <cellStyle name="_Bases instaladas_Multi Country" xfId="1645"/>
    <cellStyle name="_BOM - Mux" xfId="1646"/>
    <cellStyle name="_BoM Muxes STM-n 18-Ene-06 ERICSS1" xfId="1647"/>
    <cellStyle name="_BoM Muxes STM-n 18-Ene-06 ERICSS1_Hoja Resumen Con Firmas" xfId="1648"/>
    <cellStyle name="_BoM Muxes STM-n 18-Ene-06 ERICSS1_Hoja Resumen Con Firmas_20090928_EBC ADELA LOLI_JUDITH_VERONICA" xfId="1649"/>
    <cellStyle name="_BoM Muxes STM-n 18-Ene-06 ERICSS1_Hoja Resumen Con Firmas_Cob-0105 Pilcocota" xfId="1650"/>
    <cellStyle name="_BoM Muxes STM-n 18-Ene-06 ERICSS1_Hoja Resumen Con Firmas_Cob-0105 Pilcocota_OFE UMBE _(Ref. 20-04-11)" xfId="1651"/>
    <cellStyle name="_BoM Muxes STM-n 18-Ene-06 ERICSS1_Hoja Resumen Con Firmas_Cob-0105 Pilcocota_RESUMEN DE HOJA DE OFERTA Y LIQUIDACION" xfId="1652"/>
    <cellStyle name="_BoM Muxes STM-n 18-Ene-06 ERICSS1_Hoja Resumen Con Firmas_EBC TOCNOPE" xfId="1653"/>
    <cellStyle name="_BoM Muxes STM-n 18-Ene-06 ERICSS1_Hoja Resumen Con Firmas_MOntelima" xfId="1654"/>
    <cellStyle name="_BoM Muxes STM-n 18-Ene-06 ERICSS1_Hoja Resumen Con Firmas_OFE UMBE _(Ref. 20-04-11)" xfId="1655"/>
    <cellStyle name="_BoM Muxes STM-n 18-Ene-06 ERICSS1_Hoja Resumen Con Firmas_OFERTA DE GE - MONTE LOS OLIVOS - SIN TANQUES" xfId="1656"/>
    <cellStyle name="_BoM Muxes STM-n 18-Ene-06 ERICSS1_Hoja Resumen Con Firmas_RESUMEN DE HOJA DE OFERTA Y LIQUIDACION" xfId="1657"/>
    <cellStyle name="_BoM Muxes STM-n 18-Ene-06 ERICSS1_Rep Choloque 30m - II" xfId="1658"/>
    <cellStyle name="_BoM Muxes STM-n 18-Ene-06 ERICSS1_Rep Choloque 30m - II_20090928_EBC ADELA LOLI_JUDITH_VERONICA" xfId="1659"/>
    <cellStyle name="_BoM Muxes STM-n 18-Ene-06 ERICSS1_Rep Choloque 30m - II_Cob-0105 Pilcocota" xfId="1660"/>
    <cellStyle name="_BoM Muxes STM-n 18-Ene-06 ERICSS1_Rep Choloque 30m - II_Cob-0105 Pilcocota_OFE UMBE _(Ref. 20-04-11)" xfId="1661"/>
    <cellStyle name="_BoM Muxes STM-n 18-Ene-06 ERICSS1_Rep Choloque 30m - II_Cob-0105 Pilcocota_RESUMEN DE HOJA DE OFERTA Y LIQUIDACION" xfId="1662"/>
    <cellStyle name="_BoM Muxes STM-n 18-Ene-06 ERICSS1_Rep Choloque 30m - II_EBC TOCNOPE" xfId="1663"/>
    <cellStyle name="_BoM Muxes STM-n 18-Ene-06 ERICSS1_Rep Choloque 30m - II_MOntelima" xfId="1664"/>
    <cellStyle name="_BoM Muxes STM-n 18-Ene-06 ERICSS1_Rep Choloque 30m - II_OFE UMBE _(Ref. 20-04-11)" xfId="1665"/>
    <cellStyle name="_BoM Muxes STM-n 18-Ene-06 ERICSS1_Rep Choloque 30m - II_OFERTA DE GE - MONTE LOS OLIVOS - SIN TANQUES" xfId="1666"/>
    <cellStyle name="_BoM Muxes STM-n 18-Ene-06 ERICSS1_Rep Choloque 30m - II_RESUMEN DE HOJA DE OFERTA Y LIQUIDACION" xfId="1667"/>
    <cellStyle name="_Book1" xfId="1668"/>
    <cellStyle name="_Book1_Hoja Resumen Con Firmas" xfId="1669"/>
    <cellStyle name="_Book1_Hoja Resumen Con Firmas_20090928_EBC ADELA LOLI_JUDITH_VERONICA" xfId="1670"/>
    <cellStyle name="_Book1_Hoja Resumen Con Firmas_EBC TOCNOPE" xfId="1671"/>
    <cellStyle name="_Book1_Hoja Resumen Con Firmas_OFERTA DE GE - MONTE LOS OLIVOS - SIN TANQUES" xfId="1672"/>
    <cellStyle name="_Book1_Rep Choloque 30m - II" xfId="1673"/>
    <cellStyle name="_Book1_Rep Choloque 30m - II_20090928_EBC ADELA LOLI_JUDITH_VERONICA" xfId="1674"/>
    <cellStyle name="_Book1_Rep Choloque 30m - II_EBC TOCNOPE" xfId="1675"/>
    <cellStyle name="_Book1_Rep Choloque 30m - II_OFERTA DE GE - MONTE LOS OLIVOS - SIN TANQUES" xfId="1676"/>
    <cellStyle name="_BTS comp and discount structure V.11" xfId="1677"/>
    <cellStyle name="_BTS comp and discount structure V.11_Hoja Resumen Con Firmas" xfId="1678"/>
    <cellStyle name="_BTS comp and discount structure V.11_Hoja Resumen Con Firmas_20090928_EBC ADELA LOLI_JUDITH_VERONICA" xfId="1679"/>
    <cellStyle name="_BTS comp and discount structure V.11_Hoja Resumen Con Firmas_EBC TOCNOPE" xfId="1680"/>
    <cellStyle name="_BTS comp and discount structure V.11_Hoja Resumen Con Firmas_OFERTA DE GE - MONTE LOS OLIVOS - SIN TANQUES" xfId="1681"/>
    <cellStyle name="_BTS comp and discount structure V.11_Rep Choloque 30m - II" xfId="1682"/>
    <cellStyle name="_BTS comp and discount structure V.11_Rep Choloque 30m - II_20090928_EBC ADELA LOLI_JUDITH_VERONICA" xfId="1683"/>
    <cellStyle name="_BTS comp and discount structure V.11_Rep Choloque 30m - II_EBC TOCNOPE" xfId="1684"/>
    <cellStyle name="_BTS comp and discount structure V.11_Rep Choloque 30m - II_OFERTA DE GE - MONTE LOS OLIVOS - SIN TANQUES" xfId="1685"/>
    <cellStyle name="_Busquedas PO2008_G3_TEC_MET" xfId="1686"/>
    <cellStyle name="_Busquedas PO2008_G3_TEC_MET_Hoja Resumen Con Firmas" xfId="1687"/>
    <cellStyle name="_Busquedas PO2008_G3_TEC_MET_Hoja Resumen Con Firmas_20090928_EBC ADELA LOLI_JUDITH_VERONICA" xfId="1688"/>
    <cellStyle name="_Busquedas PO2008_G3_TEC_MET_Hoja Resumen Con Firmas_Cob-0105 Pilcocota" xfId="1689"/>
    <cellStyle name="_Busquedas PO2008_G3_TEC_MET_Hoja Resumen Con Firmas_Cob-0105 Pilcocota_OFE UMBE _(Ref. 20-04-11)" xfId="1690"/>
    <cellStyle name="_Busquedas PO2008_G3_TEC_MET_Hoja Resumen Con Firmas_Cob-0105 Pilcocota_RESUMEN DE HOJA DE OFERTA Y LIQUIDACION" xfId="1691"/>
    <cellStyle name="_Busquedas PO2008_G3_TEC_MET_Hoja Resumen Con Firmas_EBC TOCNOPE" xfId="1692"/>
    <cellStyle name="_Busquedas PO2008_G3_TEC_MET_Hoja Resumen Con Firmas_MOntelima" xfId="1693"/>
    <cellStyle name="_Busquedas PO2008_G3_TEC_MET_Hoja Resumen Con Firmas_OFE UMBE _(Ref. 20-04-11)" xfId="1694"/>
    <cellStyle name="_Busquedas PO2008_G3_TEC_MET_Hoja Resumen Con Firmas_OFERTA DE GE - MONTE LOS OLIVOS - SIN TANQUES" xfId="1695"/>
    <cellStyle name="_Busquedas PO2008_G3_TEC_MET_Hoja Resumen Con Firmas_RESUMEN DE HOJA DE OFERTA Y LIQUIDACION" xfId="1696"/>
    <cellStyle name="_Busquedas PO2008_G3_TEC_MET_Rep Choloque 30m - II" xfId="1697"/>
    <cellStyle name="_Busquedas PO2008_G3_TEC_MET_Rep Choloque 30m - II_20090928_EBC ADELA LOLI_JUDITH_VERONICA" xfId="1698"/>
    <cellStyle name="_Busquedas PO2008_G3_TEC_MET_Rep Choloque 30m - II_Cob-0105 Pilcocota" xfId="1699"/>
    <cellStyle name="_Busquedas PO2008_G3_TEC_MET_Rep Choloque 30m - II_Cob-0105 Pilcocota_OFE UMBE _(Ref. 20-04-11)" xfId="1700"/>
    <cellStyle name="_Busquedas PO2008_G3_TEC_MET_Rep Choloque 30m - II_Cob-0105 Pilcocota_RESUMEN DE HOJA DE OFERTA Y LIQUIDACION" xfId="1701"/>
    <cellStyle name="_Busquedas PO2008_G3_TEC_MET_Rep Choloque 30m - II_EBC TOCNOPE" xfId="1702"/>
    <cellStyle name="_Busquedas PO2008_G3_TEC_MET_Rep Choloque 30m - II_MOntelima" xfId="1703"/>
    <cellStyle name="_Busquedas PO2008_G3_TEC_MET_Rep Choloque 30m - II_OFE UMBE _(Ref. 20-04-11)" xfId="1704"/>
    <cellStyle name="_Busquedas PO2008_G3_TEC_MET_Rep Choloque 30m - II_OFERTA DE GE - MONTE LOS OLIVOS - SIN TANQUES" xfId="1705"/>
    <cellStyle name="_Busquedas PO2008_G3_TEC_MET_Rep Choloque 30m - II_RESUMEN DE HOJA DE OFERTA Y LIQUIDACION" xfId="1706"/>
    <cellStyle name="_Busquedas PO2008_G4_TEC_MET" xfId="1707"/>
    <cellStyle name="_Busquedas PO2008_G4_TEC_MET_Hoja Resumen Con Firmas" xfId="1708"/>
    <cellStyle name="_Busquedas PO2008_G4_TEC_MET_Hoja Resumen Con Firmas_20090928_EBC ADELA LOLI_JUDITH_VERONICA" xfId="1709"/>
    <cellStyle name="_Busquedas PO2008_G4_TEC_MET_Hoja Resumen Con Firmas_Cob-0105 Pilcocota" xfId="1710"/>
    <cellStyle name="_Busquedas PO2008_G4_TEC_MET_Hoja Resumen Con Firmas_Cob-0105 Pilcocota_OFE UMBE _(Ref. 20-04-11)" xfId="1711"/>
    <cellStyle name="_Busquedas PO2008_G4_TEC_MET_Hoja Resumen Con Firmas_Cob-0105 Pilcocota_RESUMEN DE HOJA DE OFERTA Y LIQUIDACION" xfId="1712"/>
    <cellStyle name="_Busquedas PO2008_G4_TEC_MET_Hoja Resumen Con Firmas_EBC TOCNOPE" xfId="1713"/>
    <cellStyle name="_Busquedas PO2008_G4_TEC_MET_Hoja Resumen Con Firmas_MOntelima" xfId="1714"/>
    <cellStyle name="_Busquedas PO2008_G4_TEC_MET_Hoja Resumen Con Firmas_OFE UMBE _(Ref. 20-04-11)" xfId="1715"/>
    <cellStyle name="_Busquedas PO2008_G4_TEC_MET_Hoja Resumen Con Firmas_OFERTA DE GE - MONTE LOS OLIVOS - SIN TANQUES" xfId="1716"/>
    <cellStyle name="_Busquedas PO2008_G4_TEC_MET_Hoja Resumen Con Firmas_RESUMEN DE HOJA DE OFERTA Y LIQUIDACION" xfId="1717"/>
    <cellStyle name="_Busquedas PO2008_G4_TEC_MET_Rep Choloque 30m - II" xfId="1718"/>
    <cellStyle name="_Busquedas PO2008_G4_TEC_MET_Rep Choloque 30m - II_20090928_EBC ADELA LOLI_JUDITH_VERONICA" xfId="1719"/>
    <cellStyle name="_Busquedas PO2008_G4_TEC_MET_Rep Choloque 30m - II_Cob-0105 Pilcocota" xfId="1720"/>
    <cellStyle name="_Busquedas PO2008_G4_TEC_MET_Rep Choloque 30m - II_Cob-0105 Pilcocota_OFE UMBE _(Ref. 20-04-11)" xfId="1721"/>
    <cellStyle name="_Busquedas PO2008_G4_TEC_MET_Rep Choloque 30m - II_Cob-0105 Pilcocota_RESUMEN DE HOJA DE OFERTA Y LIQUIDACION" xfId="1722"/>
    <cellStyle name="_Busquedas PO2008_G4_TEC_MET_Rep Choloque 30m - II_EBC TOCNOPE" xfId="1723"/>
    <cellStyle name="_Busquedas PO2008_G4_TEC_MET_Rep Choloque 30m - II_MOntelima" xfId="1724"/>
    <cellStyle name="_Busquedas PO2008_G4_TEC_MET_Rep Choloque 30m - II_OFE UMBE _(Ref. 20-04-11)" xfId="1725"/>
    <cellStyle name="_Busquedas PO2008_G4_TEC_MET_Rep Choloque 30m - II_OFERTA DE GE - MONTE LOS OLIVOS - SIN TANQUES" xfId="1726"/>
    <cellStyle name="_Busquedas PO2008_G4_TEC_MET_Rep Choloque 30m - II_RESUMEN DE HOJA DE OFERTA Y LIQUIDACION" xfId="1727"/>
    <cellStyle name="_CAL CE041 01 06 REV B OA" xfId="1728"/>
    <cellStyle name="_CAL CE041 03 06 OE" xfId="1729"/>
    <cellStyle name="_Cantidades Operadoras Moviles_Muxes" xfId="1730"/>
    <cellStyle name="_Cantidades Operadoras Moviles_Radios" xfId="1731"/>
    <cellStyle name="_Cantv NGN RA 310305" xfId="1732"/>
    <cellStyle name="_CA-Separación" xfId="1733"/>
    <cellStyle name="_CA-Separación_Hoja Resumen Con Firmas" xfId="1734"/>
    <cellStyle name="_CA-Separación_Hoja Resumen Con Firmas_20090928_EBC ADELA LOLI_JUDITH_VERONICA" xfId="1735"/>
    <cellStyle name="_CA-Separación_Hoja Resumen Con Firmas_Cob-0105 Pilcocota" xfId="1736"/>
    <cellStyle name="_CA-Separación_Hoja Resumen Con Firmas_Cob-0105 Pilcocota_OFE UMBE _(Ref. 20-04-11)" xfId="1737"/>
    <cellStyle name="_CA-Separación_Hoja Resumen Con Firmas_Cob-0105 Pilcocota_RESUMEN DE HOJA DE OFERTA Y LIQUIDACION" xfId="1738"/>
    <cellStyle name="_CA-Separación_Hoja Resumen Con Firmas_EBC TOCNOPE" xfId="1739"/>
    <cellStyle name="_CA-Separación_Hoja Resumen Con Firmas_MOntelima" xfId="1740"/>
    <cellStyle name="_CA-Separación_Hoja Resumen Con Firmas_OFE UMBE _(Ref. 20-04-11)" xfId="1741"/>
    <cellStyle name="_CA-Separación_Hoja Resumen Con Firmas_OFERTA DE GE - MONTE LOS OLIVOS - SIN TANQUES" xfId="1742"/>
    <cellStyle name="_CA-Separación_Hoja Resumen Con Firmas_RESUMEN DE HOJA DE OFERTA Y LIQUIDACION" xfId="1743"/>
    <cellStyle name="_CA-Separación_Rep Choloque 30m - II" xfId="1744"/>
    <cellStyle name="_CA-Separación_Rep Choloque 30m - II_20090928_EBC ADELA LOLI_JUDITH_VERONICA" xfId="1745"/>
    <cellStyle name="_CA-Separación_Rep Choloque 30m - II_Cob-0105 Pilcocota" xfId="1746"/>
    <cellStyle name="_CA-Separación_Rep Choloque 30m - II_Cob-0105 Pilcocota_OFE UMBE _(Ref. 20-04-11)" xfId="1747"/>
    <cellStyle name="_CA-Separación_Rep Choloque 30m - II_Cob-0105 Pilcocota_RESUMEN DE HOJA DE OFERTA Y LIQUIDACION" xfId="1748"/>
    <cellStyle name="_CA-Separación_Rep Choloque 30m - II_EBC TOCNOPE" xfId="1749"/>
    <cellStyle name="_CA-Separación_Rep Choloque 30m - II_MOntelima" xfId="1750"/>
    <cellStyle name="_CA-Separación_Rep Choloque 30m - II_OFE UMBE _(Ref. 20-04-11)" xfId="1751"/>
    <cellStyle name="_CA-Separación_Rep Choloque 30m - II_OFERTA DE GE - MONTE LOS OLIVOS - SIN TANQUES" xfId="1752"/>
    <cellStyle name="_CA-Separación_Rep Choloque 30m - II_RESUMEN DE HOJA DE OFERTA Y LIQUIDACION" xfId="1753"/>
    <cellStyle name="_CATOLICA_CM" xfId="1754"/>
    <cellStyle name="_CATOLICA_CM_OFE PUEBLO NUEVO SUR DE ICA" xfId="1755"/>
    <cellStyle name="_CATOLICA_CM_OFE PUEBLO NUEVO SUR DE ICA 2" xfId="1756"/>
    <cellStyle name="_CAV01" xfId="1757"/>
    <cellStyle name="_CERRO PITA - B&amp;A" xfId="1758"/>
    <cellStyle name="_Cimentación Torre 16set29" xfId="1759"/>
    <cellStyle name="_Comcel Phase 5 B-Form" xfId="1760"/>
    <cellStyle name="_CONTROL DE EQUIPAMIENTO_R1_R3_100703" xfId="1761"/>
    <cellStyle name="_CONTROL DE EQUIPAMIENTO_R1_R3_100703_Hoja Resumen Con Firmas" xfId="1762"/>
    <cellStyle name="_CONTROL DE EQUIPAMIENTO_R1_R3_100703_Hoja Resumen Con Firmas_20090928_EBC ADELA LOLI_JUDITH_VERONICA" xfId="1763"/>
    <cellStyle name="_CONTROL DE EQUIPAMIENTO_R1_R3_100703_Hoja Resumen Con Firmas_EBC TOCNOPE" xfId="1764"/>
    <cellStyle name="_CONTROL DE EQUIPAMIENTO_R1_R3_100703_Hoja Resumen Con Firmas_OFERTA DE GE - MONTE LOS OLIVOS - SIN TANQUES" xfId="1765"/>
    <cellStyle name="_CONTROL DE EQUIPAMIENTO_R1_R3_100703_Rep Choloque 30m - II" xfId="1766"/>
    <cellStyle name="_CONTROL DE EQUIPAMIENTO_R1_R3_100703_Rep Choloque 30m - II_20090928_EBC ADELA LOLI_JUDITH_VERONICA" xfId="1767"/>
    <cellStyle name="_CONTROL DE EQUIPAMIENTO_R1_R3_100703_Rep Choloque 30m - II_EBC TOCNOPE" xfId="1768"/>
    <cellStyle name="_CONTROL DE EQUIPAMIENTO_R1_R3_100703_Rep Choloque 30m - II_OFERTA DE GE - MONTE LOS OLIVOS - SIN TANQUES" xfId="1769"/>
    <cellStyle name="_cost 05-06 GSM-GPRS-TELECSA REV 1" xfId="1770"/>
    <cellStyle name="_cost 21-06 NGN - ETAPA TEE" xfId="1771"/>
    <cellStyle name="_cost 91-06  GSM- WCDMA CORE -TELEFONICA-REGIONAL-REV.2" xfId="1772"/>
    <cellStyle name="_cost-73-06 WCDMA-TELEFONICA VENEZ" xfId="1773"/>
    <cellStyle name="_cost-73-06 WCDMA-TELEFONICA VENEZ -rev. 1" xfId="1774"/>
    <cellStyle name="_COT SMA LIC RADIO CFE 130306 (2)" xfId="1775"/>
    <cellStyle name="_Cotización llave en mano Sombra Azul PA6 Peru" xfId="1776"/>
    <cellStyle name="_Customer Pricing TEM GW Charging April 23" xfId="1777"/>
    <cellStyle name="_CVG telecom OSS" xfId="1778"/>
    <cellStyle name="_CW MSC-MMGWY GLobal Layered Arch(220705)Rev. B" xfId="1779"/>
    <cellStyle name="_CW MSC-MMGWY GLobal Layered Arch1" xfId="1780"/>
    <cellStyle name="_CW SSP for SAP sitios existentes Orden 401069-2 - COST (19-May-07)" xfId="1781"/>
    <cellStyle name="_DATA INFORME 160507" xfId="1782"/>
    <cellStyle name="_Definitivo NGN RC 3003053" xfId="1783"/>
    <cellStyle name="_DURANGO TEM" xfId="1784"/>
    <cellStyle name="_EBC CAJAS" xfId="1785"/>
    <cellStyle name="_EBC CAJAS_Hoja Resumen Con Firmas" xfId="1786"/>
    <cellStyle name="_EBC CAJAS_Hoja Resumen Con Firmas_20090928_EBC ADELA LOLI_JUDITH_VERONICA" xfId="1787"/>
    <cellStyle name="_EBC CAJAS_Hoja Resumen Con Firmas_Cob-0105 Pilcocota" xfId="1788"/>
    <cellStyle name="_EBC CAJAS_Hoja Resumen Con Firmas_Cob-0105 Pilcocota_OFE UMBE _(Ref. 20-04-11)" xfId="1789"/>
    <cellStyle name="_EBC CAJAS_Hoja Resumen Con Firmas_Cob-0105 Pilcocota_RESUMEN DE HOJA DE OFERTA Y LIQUIDACION" xfId="1790"/>
    <cellStyle name="_EBC CAJAS_Hoja Resumen Con Firmas_EBC TOCNOPE" xfId="1791"/>
    <cellStyle name="_EBC CAJAS_Hoja Resumen Con Firmas_MOntelima" xfId="1792"/>
    <cellStyle name="_EBC CAJAS_Hoja Resumen Con Firmas_OFE UMBE _(Ref. 20-04-11)" xfId="1793"/>
    <cellStyle name="_EBC CAJAS_Hoja Resumen Con Firmas_OFERTA DE GE - MONTE LOS OLIVOS - SIN TANQUES" xfId="1794"/>
    <cellStyle name="_EBC CAJAS_Hoja Resumen Con Firmas_RESUMEN DE HOJA DE OFERTA Y LIQUIDACION" xfId="1795"/>
    <cellStyle name="_EBC CAJAS_Rep Choloque 30m - II" xfId="1796"/>
    <cellStyle name="_EBC CAJAS_Rep Choloque 30m - II_20090928_EBC ADELA LOLI_JUDITH_VERONICA" xfId="1797"/>
    <cellStyle name="_EBC CAJAS_Rep Choloque 30m - II_Cob-0105 Pilcocota" xfId="1798"/>
    <cellStyle name="_EBC CAJAS_Rep Choloque 30m - II_Cob-0105 Pilcocota_OFE UMBE _(Ref. 20-04-11)" xfId="1799"/>
    <cellStyle name="_EBC CAJAS_Rep Choloque 30m - II_Cob-0105 Pilcocota_RESUMEN DE HOJA DE OFERTA Y LIQUIDACION" xfId="1800"/>
    <cellStyle name="_EBC CAJAS_Rep Choloque 30m - II_EBC TOCNOPE" xfId="1801"/>
    <cellStyle name="_EBC CAJAS_Rep Choloque 30m - II_MOntelima" xfId="1802"/>
    <cellStyle name="_EBC CAJAS_Rep Choloque 30m - II_OFE UMBE _(Ref. 20-04-11)" xfId="1803"/>
    <cellStyle name="_EBC CAJAS_Rep Choloque 30m - II_OFERTA DE GE - MONTE LOS OLIVOS - SIN TANQUES" xfId="1804"/>
    <cellStyle name="_EBC CAJAS_Rep Choloque 30m - II_RESUMEN DE HOJA DE OFERTA Y LIQUIDACION" xfId="1805"/>
    <cellStyle name="_EBC DURANGO 2008 rv(1)" xfId="1806"/>
    <cellStyle name="_EBC DURANGO 2008 rv(1)_20090514-DURAZNOS 2-Diana&amp;Jose-R1" xfId="1807"/>
    <cellStyle name="_EBC DURANGO 2008 rv(1)_20090514-DURAZNOS 2-Diana&amp;Jose-R1_OFE UMBE _(Ref. 20-04-11)" xfId="1808"/>
    <cellStyle name="_EBC DURANGO 2008 rv(1)_20090514-DURAZNOS 2-Diana&amp;Jose-R1_RESUMEN DE HOJA DE OFERTA Y LIQUIDACION" xfId="1809"/>
    <cellStyle name="_EBC DURANGO 2008 rv(1)_DURAZNOS 2 OFE" xfId="1810"/>
    <cellStyle name="_EBC DURANGO 2008 rv(1)_DURAZNOS 2 OFE_OFE UMBE _(Ref. 20-04-11)" xfId="1811"/>
    <cellStyle name="_EBC DURANGO 2008 rv(1)_DURAZNOS 2 OFE_RESUMEN DE HOJA DE OFERTA Y LIQUIDACION" xfId="1812"/>
    <cellStyle name="_EBC EL RECREO 2008" xfId="1813"/>
    <cellStyle name="_EBC EL RECREO 2008_20090514-DURAZNOS 2-Diana&amp;Jose-R1" xfId="1814"/>
    <cellStyle name="_EBC EL RECREO 2008_20090514-DURAZNOS 2-Diana&amp;Jose-R1_OFE UMBE _(Ref. 20-04-11)" xfId="1815"/>
    <cellStyle name="_EBC EL RECREO 2008_20090514-DURAZNOS 2-Diana&amp;Jose-R1_RESUMEN DE HOJA DE OFERTA Y LIQUIDACION" xfId="1816"/>
    <cellStyle name="_EBC EL RECREO 2008_DURAZNOS 2 OFE" xfId="1817"/>
    <cellStyle name="_EBC EL RECREO 2008_DURAZNOS 2 OFE_OFE UMBE _(Ref. 20-04-11)" xfId="1818"/>
    <cellStyle name="_EBC EL RECREO 2008_DURAZNOS 2 OFE_RESUMEN DE HOJA DE OFERTA Y LIQUIDACION" xfId="1819"/>
    <cellStyle name="_EBC YANAMA" xfId="1820"/>
    <cellStyle name="_EBC YANAMA_OFE PUEBLO NUEVO SUR DE ICA" xfId="1821"/>
    <cellStyle name="_EBC YANAMA_OFE PUEBLO NUEVO SUR DE ICA 2" xfId="1822"/>
    <cellStyle name="_Ejemplo YANAMA" xfId="1823"/>
    <cellStyle name="_Ejemplo YANAMA_OFE PUEBLO NUEVO SUR DE ICA" xfId="1824"/>
    <cellStyle name="_Ejemplo YANAMA_OFE PUEBLO NUEVO SUR DE ICA 2" xfId="1825"/>
    <cellStyle name="_EMTELSA Ericsson NMS_SOO_Core2_180106_final" xfId="1826"/>
    <cellStyle name="_Enviado a comercial 180806 -  Preciario CW -" xfId="1827"/>
    <cellStyle name="_Estructuras - Matriz" xfId="1828"/>
    <cellStyle name="_Estudio de Radioenlaces" xfId="1829"/>
    <cellStyle name="_Evolução tecnologica_Ajuste anual_v3" xfId="1830"/>
    <cellStyle name="_Evolução tecnologica_Ajuste anual_v5" xfId="1831"/>
    <cellStyle name="_FM CSNE OF Case 1-2005 PRA" xfId="1832"/>
    <cellStyle name="_FORMATO PARA CALCULO DE PESOS" xfId="1833"/>
    <cellStyle name="_FORMATO PARA CALCULO DE PESOS_Hoja Resumen Con Firmas" xfId="1834"/>
    <cellStyle name="_FORMATO PARA CALCULO DE PESOS_Hoja Resumen Con Firmas_20090928_EBC ADELA LOLI_JUDITH_VERONICA" xfId="1835"/>
    <cellStyle name="_FORMATO PARA CALCULO DE PESOS_Hoja Resumen Con Firmas_Cob-0105 Pilcocota" xfId="1836"/>
    <cellStyle name="_FORMATO PARA CALCULO DE PESOS_Hoja Resumen Con Firmas_Cob-0105 Pilcocota_OFE UMBE _(Ref. 20-04-11)" xfId="1837"/>
    <cellStyle name="_FORMATO PARA CALCULO DE PESOS_Hoja Resumen Con Firmas_Cob-0105 Pilcocota_RESUMEN DE HOJA DE OFERTA Y LIQUIDACION" xfId="1838"/>
    <cellStyle name="_FORMATO PARA CALCULO DE PESOS_Hoja Resumen Con Firmas_EBC TOCNOPE" xfId="1839"/>
    <cellStyle name="_FORMATO PARA CALCULO DE PESOS_Hoja Resumen Con Firmas_MOntelima" xfId="1840"/>
    <cellStyle name="_FORMATO PARA CALCULO DE PESOS_Hoja Resumen Con Firmas_OFE UMBE _(Ref. 20-04-11)" xfId="1841"/>
    <cellStyle name="_FORMATO PARA CALCULO DE PESOS_Hoja Resumen Con Firmas_OFERTA DE GE - MONTE LOS OLIVOS - SIN TANQUES" xfId="1842"/>
    <cellStyle name="_FORMATO PARA CALCULO DE PESOS_Hoja Resumen Con Firmas_RESUMEN DE HOJA DE OFERTA Y LIQUIDACION" xfId="1843"/>
    <cellStyle name="_FORMATO PARA CALCULO DE PESOS_Rep Choloque 30m - II" xfId="1844"/>
    <cellStyle name="_FORMATO PARA CALCULO DE PESOS_Rep Choloque 30m - II_20090928_EBC ADELA LOLI_JUDITH_VERONICA" xfId="1845"/>
    <cellStyle name="_FORMATO PARA CALCULO DE PESOS_Rep Choloque 30m - II_Cob-0105 Pilcocota" xfId="1846"/>
    <cellStyle name="_FORMATO PARA CALCULO DE PESOS_Rep Choloque 30m - II_Cob-0105 Pilcocota_OFE UMBE _(Ref. 20-04-11)" xfId="1847"/>
    <cellStyle name="_FORMATO PARA CALCULO DE PESOS_Rep Choloque 30m - II_Cob-0105 Pilcocota_RESUMEN DE HOJA DE OFERTA Y LIQUIDACION" xfId="1848"/>
    <cellStyle name="_FORMATO PARA CALCULO DE PESOS_Rep Choloque 30m - II_EBC TOCNOPE" xfId="1849"/>
    <cellStyle name="_FORMATO PARA CALCULO DE PESOS_Rep Choloque 30m - II_MOntelima" xfId="1850"/>
    <cellStyle name="_FORMATO PARA CALCULO DE PESOS_Rep Choloque 30m - II_OFE UMBE _(Ref. 20-04-11)" xfId="1851"/>
    <cellStyle name="_FORMATO PARA CALCULO DE PESOS_Rep Choloque 30m - II_OFERTA DE GE - MONTE LOS OLIVOS - SIN TANQUES" xfId="1852"/>
    <cellStyle name="_FORMATO PARA CALCULO DE PESOS_Rep Choloque 30m - II_RESUMEN DE HOJA DE OFERTA Y LIQUIDACION" xfId="1853"/>
    <cellStyle name="_Formato_Ericson_Costo_Paquete02_2007_03_05a" xfId="1854"/>
    <cellStyle name="_Formato_Ericson_Costo_Paquete02_2007_03_05a_Hoja Resumen Con Firmas" xfId="1855"/>
    <cellStyle name="_Formato_Ericson_Costo_Paquete02_2007_03_05a_Hoja Resumen Con Firmas_20090928_EBC ADELA LOLI_JUDITH_VERONICA" xfId="1856"/>
    <cellStyle name="_Formato_Ericson_Costo_Paquete02_2007_03_05a_Hoja Resumen Con Firmas_Cob-0105 Pilcocota" xfId="1857"/>
    <cellStyle name="_Formato_Ericson_Costo_Paquete02_2007_03_05a_Hoja Resumen Con Firmas_Cob-0105 Pilcocota_OFE UMBE _(Ref. 20-04-11)" xfId="1858"/>
    <cellStyle name="_Formato_Ericson_Costo_Paquete02_2007_03_05a_Hoja Resumen Con Firmas_Cob-0105 Pilcocota_RESUMEN DE HOJA DE OFERTA Y LIQUIDACION" xfId="1859"/>
    <cellStyle name="_Formato_Ericson_Costo_Paquete02_2007_03_05a_Hoja Resumen Con Firmas_EBC TOCNOPE" xfId="1860"/>
    <cellStyle name="_Formato_Ericson_Costo_Paquete02_2007_03_05a_Hoja Resumen Con Firmas_MOntelima" xfId="1861"/>
    <cellStyle name="_Formato_Ericson_Costo_Paquete02_2007_03_05a_Hoja Resumen Con Firmas_OFE UMBE _(Ref. 20-04-11)" xfId="1862"/>
    <cellStyle name="_Formato_Ericson_Costo_Paquete02_2007_03_05a_Hoja Resumen Con Firmas_OFERTA DE GE - MONTE LOS OLIVOS - SIN TANQUES" xfId="1863"/>
    <cellStyle name="_Formato_Ericson_Costo_Paquete02_2007_03_05a_Hoja Resumen Con Firmas_RESUMEN DE HOJA DE OFERTA Y LIQUIDACION" xfId="1864"/>
    <cellStyle name="_Formato_Ericson_Costo_Paquete02_2007_03_05a_Rep Choloque 30m - II" xfId="1865"/>
    <cellStyle name="_Formato_Ericson_Costo_Paquete02_2007_03_05a_Rep Choloque 30m - II_20090928_EBC ADELA LOLI_JUDITH_VERONICA" xfId="1866"/>
    <cellStyle name="_Formato_Ericson_Costo_Paquete02_2007_03_05a_Rep Choloque 30m - II_Cob-0105 Pilcocota" xfId="1867"/>
    <cellStyle name="_Formato_Ericson_Costo_Paquete02_2007_03_05a_Rep Choloque 30m - II_Cob-0105 Pilcocota_OFE UMBE _(Ref. 20-04-11)" xfId="1868"/>
    <cellStyle name="_Formato_Ericson_Costo_Paquete02_2007_03_05a_Rep Choloque 30m - II_Cob-0105 Pilcocota_RESUMEN DE HOJA DE OFERTA Y LIQUIDACION" xfId="1869"/>
    <cellStyle name="_Formato_Ericson_Costo_Paquete02_2007_03_05a_Rep Choloque 30m - II_EBC TOCNOPE" xfId="1870"/>
    <cellStyle name="_Formato_Ericson_Costo_Paquete02_2007_03_05a_Rep Choloque 30m - II_MOntelima" xfId="1871"/>
    <cellStyle name="_Formato_Ericson_Costo_Paquete02_2007_03_05a_Rep Choloque 30m - II_OFE UMBE _(Ref. 20-04-11)" xfId="1872"/>
    <cellStyle name="_Formato_Ericson_Costo_Paquete02_2007_03_05a_Rep Choloque 30m - II_OFERTA DE GE - MONTE LOS OLIVOS - SIN TANQUES" xfId="1873"/>
    <cellStyle name="_Formato_Ericson_Costo_Paquete02_2007_03_05a_Rep Choloque 30m - II_RESUMEN DE HOJA DE OFERTA Y LIQUIDACION" xfId="1874"/>
    <cellStyle name="_GLOBAL OFERTA ERICSSON" xfId="1875"/>
    <cellStyle name="_Huawei Local Service Summary Table" xfId="1876"/>
    <cellStyle name="_Huawei Local Service Summary Table 2" xfId="1877"/>
    <cellStyle name="_ICE" xfId="1878"/>
    <cellStyle name="_Imp+Service+Item+Master+file+-+NSN+-+20071031" xfId="1879"/>
    <cellStyle name="_Info BS 050307" xfId="1880"/>
    <cellStyle name="_Info BS 050307_EBC CHOROPAMPA_Inicial_Aenor_Rev1" xfId="1881"/>
    <cellStyle name="_Info BS 050307_OFE PUEBLO NUEVO SUR DE ICA" xfId="1882"/>
    <cellStyle name="_Info BS 050307_OFE PUEBLO NUEVO SUR DE ICA 2" xfId="1883"/>
    <cellStyle name="_Infraestructura TLatam - LPU 2010" xfId="1884"/>
    <cellStyle name="_Infraestructura TLatam - LPU 2010_OFE UMBE _(Ref. 20-04-11)" xfId="1885"/>
    <cellStyle name="_Infraestructura TLatam - LPU 2010_RESUMEN DE HOJA DE OFERTA Y LIQUIDACION" xfId="1886"/>
    <cellStyle name="_Ing PB3041-PB3042" xfId="1887"/>
    <cellStyle name="_Ing PB3041-PB3042_Hoja Resumen Con Firmas" xfId="1888"/>
    <cellStyle name="_Ing PB3041-PB3042_Hoja Resumen Con Firmas_20090928_EBC ADELA LOLI_JUDITH_VERONICA" xfId="1889"/>
    <cellStyle name="_Ing PB3041-PB3042_Hoja Resumen Con Firmas_EBC TOCNOPE" xfId="1890"/>
    <cellStyle name="_Ing PB3041-PB3042_Hoja Resumen Con Firmas_OFERTA DE GE - MONTE LOS OLIVOS - SIN TANQUES" xfId="1891"/>
    <cellStyle name="_Ing PB3041-PB3042_Rep Choloque 30m - II" xfId="1892"/>
    <cellStyle name="_Ing PB3041-PB3042_Rep Choloque 30m - II_20090928_EBC ADELA LOLI_JUDITH_VERONICA" xfId="1893"/>
    <cellStyle name="_Ing PB3041-PB3042_Rep Choloque 30m - II_EBC TOCNOPE" xfId="1894"/>
    <cellStyle name="_Ing PB3041-PB3042_Rep Choloque 30m - II_OFERTA DE GE - MONTE LOS OLIVOS - SIN TANQUES" xfId="1895"/>
    <cellStyle name="_Input_data_Rev_A" xfId="1896"/>
    <cellStyle name="_Leadcom Target" xfId="1897"/>
    <cellStyle name="_Leadcom Target_20090514-DURAZNOS 2-Diana&amp;Jose-R1" xfId="1898"/>
    <cellStyle name="_Leadcom Target_20090514-DURAZNOS 2-Diana&amp;Jose-R1_OFE PUEBLO NUEVO SUR DE ICA" xfId="1899"/>
    <cellStyle name="_Leadcom Target_20090514-DURAZNOS 2-Diana&amp;Jose-R1_OFE UMBE _(Ref. 20-04-11)" xfId="1900"/>
    <cellStyle name="_Leadcom Target_20090514-DURAZNOS 2-Diana&amp;Jose-R1_RESUMEN DE HOJA DE OFERTA Y LIQUIDACION" xfId="1901"/>
    <cellStyle name="_Leadcom Target_20090609 EBC VILLA EDEN-Alberto-Oscar" xfId="1902"/>
    <cellStyle name="_Leadcom Target_20090716-AYARSA-ECELYNJOSE_final tm" xfId="1903"/>
    <cellStyle name="_Leadcom Target_20090716-AYARSA-ECELYNJOSE_final tm_Cob-0105 Pilcocota" xfId="1904"/>
    <cellStyle name="_Leadcom Target_20090716-AYARSA-ECELYNJOSE_final tm_Cob-0105 Pilcocota_OFE PUEBLO NUEVO SUR DE ICA" xfId="1905"/>
    <cellStyle name="_Leadcom Target_20090716-AYARSA-ECELYNJOSE_final tm_Cob-0105 Pilcocota_OFE UMBE _(Ref. 20-04-11)" xfId="1906"/>
    <cellStyle name="_Leadcom Target_20090716-AYARSA-ECELYNJOSE_final tm_Cob-0105 Pilcocota_RESUMEN DE HOJA DE OFERTA Y LIQUIDACION" xfId="1907"/>
    <cellStyle name="_Leadcom Target_20090716-AYARSA-ECELYNJOSE_final tm_MOntelima" xfId="1908"/>
    <cellStyle name="_Leadcom Target_20090716-AYARSA-ECELYNJOSE_final tm_OFE PUEBLO NUEVO SUR DE ICA" xfId="1909"/>
    <cellStyle name="_Leadcom Target_20090716-AYARSA-ECELYNJOSE_final tm_OFE UMBE _(Ref. 20-04-11)" xfId="1910"/>
    <cellStyle name="_Leadcom Target_20090716-AYARSA-ECELYNJOSE_final tm_RESUMEN DE HOJA DE OFERTA Y LIQUIDACION" xfId="1911"/>
    <cellStyle name="_Leadcom Target_DURAZNOS 2 OFE" xfId="1912"/>
    <cellStyle name="_Leadcom Target_DURAZNOS 2 OFE_OFE PUEBLO NUEVO SUR DE ICA" xfId="1913"/>
    <cellStyle name="_Leadcom Target_DURAZNOS 2 OFE_OFE UMBE _(Ref. 20-04-11)" xfId="1914"/>
    <cellStyle name="_Leadcom Target_DURAZNOS 2 OFE_RESUMEN DE HOJA DE OFERTA Y LIQUIDACION" xfId="1915"/>
    <cellStyle name="_Leadcom Target_Hoja Resumen Con Firmas" xfId="1916"/>
    <cellStyle name="_Leadcom Target_Hoja Resumen Con Firmas_20090928_EBC ADELA LOLI_JUDITH_VERONICA" xfId="1917"/>
    <cellStyle name="_Leadcom Target_Hoja Resumen Con Firmas_EBC TOCNOPE" xfId="1918"/>
    <cellStyle name="_Leadcom Target_Hoja Resumen Con Firmas_OFERTA DE GE - MONTE LOS OLIVOS - SIN TANQUES" xfId="1919"/>
    <cellStyle name="_Leadcom Target_PES0S para acarreo" xfId="1920"/>
    <cellStyle name="_Leadcom Target_PES0S para acarreo_ejemplo" xfId="1921"/>
    <cellStyle name="_Leadcom Target_PES0S para acarreo_Rep Choloque 30m - II" xfId="1922"/>
    <cellStyle name="_Leadcom Target_Rep Choloque 30m - II" xfId="1923"/>
    <cellStyle name="_Leadcom Target_Rep Choloque 30m - II_20090928_EBC ADELA LOLI_JUDITH_VERONICA" xfId="1924"/>
    <cellStyle name="_Leadcom Target_Rep Choloque 30m - II_EBC TOCNOPE" xfId="1925"/>
    <cellStyle name="_Leadcom Target_Rep Choloque 30m - II_OFERTA DE GE - MONTE LOS OLIVOS - SIN TANQUES" xfId="1926"/>
    <cellStyle name="_Leadcom Target_URA GRAU" xfId="1927"/>
    <cellStyle name="_Leadcoml_NOKIA BSS PACKTargets_June2005" xfId="1928"/>
    <cellStyle name="_Leadcoml_NOKIA BSS PACKTargets_June2005_20090514-DURAZNOS 2-Diana&amp;Jose-R1" xfId="1929"/>
    <cellStyle name="_Leadcoml_NOKIA BSS PACKTargets_June2005_20090514-DURAZNOS 2-Diana&amp;Jose-R1_OFE PUEBLO NUEVO SUR DE ICA" xfId="1930"/>
    <cellStyle name="_Leadcoml_NOKIA BSS PACKTargets_June2005_20090514-DURAZNOS 2-Diana&amp;Jose-R1_OFE UMBE _(Ref. 20-04-11)" xfId="1931"/>
    <cellStyle name="_Leadcoml_NOKIA BSS PACKTargets_June2005_20090514-DURAZNOS 2-Diana&amp;Jose-R1_RESUMEN DE HOJA DE OFERTA Y LIQUIDACION" xfId="1932"/>
    <cellStyle name="_Leadcoml_NOKIA BSS PACKTargets_June2005_20090609 EBC VILLA EDEN-Alberto-Oscar" xfId="1933"/>
    <cellStyle name="_Leadcoml_NOKIA BSS PACKTargets_June2005_20090716-AYARSA-ECELYNJOSE_final tm" xfId="1934"/>
    <cellStyle name="_Leadcoml_NOKIA BSS PACKTargets_June2005_20090716-AYARSA-ECELYNJOSE_final tm_Cob-0105 Pilcocota" xfId="1935"/>
    <cellStyle name="_Leadcoml_NOKIA BSS PACKTargets_June2005_20090716-AYARSA-ECELYNJOSE_final tm_Cob-0105 Pilcocota_OFE PUEBLO NUEVO SUR DE ICA" xfId="1936"/>
    <cellStyle name="_Leadcoml_NOKIA BSS PACKTargets_June2005_20090716-AYARSA-ECELYNJOSE_final tm_Cob-0105 Pilcocota_OFE UMBE _(Ref. 20-04-11)" xfId="1937"/>
    <cellStyle name="_Leadcoml_NOKIA BSS PACKTargets_June2005_20090716-AYARSA-ECELYNJOSE_final tm_Cob-0105 Pilcocota_RESUMEN DE HOJA DE OFERTA Y LIQUIDACION" xfId="1938"/>
    <cellStyle name="_Leadcoml_NOKIA BSS PACKTargets_June2005_20090716-AYARSA-ECELYNJOSE_final tm_MOntelima" xfId="1939"/>
    <cellStyle name="_Leadcoml_NOKIA BSS PACKTargets_June2005_20090716-AYARSA-ECELYNJOSE_final tm_OFE PUEBLO NUEVO SUR DE ICA" xfId="1940"/>
    <cellStyle name="_Leadcoml_NOKIA BSS PACKTargets_June2005_20090716-AYARSA-ECELYNJOSE_final tm_OFE UMBE _(Ref. 20-04-11)" xfId="1941"/>
    <cellStyle name="_Leadcoml_NOKIA BSS PACKTargets_June2005_20090716-AYARSA-ECELYNJOSE_final tm_RESUMEN DE HOJA DE OFERTA Y LIQUIDACION" xfId="1942"/>
    <cellStyle name="_Leadcoml_NOKIA BSS PACKTargets_June2005_DURAZNOS 2 OFE" xfId="1943"/>
    <cellStyle name="_Leadcoml_NOKIA BSS PACKTargets_June2005_DURAZNOS 2 OFE_OFE PUEBLO NUEVO SUR DE ICA" xfId="1944"/>
    <cellStyle name="_Leadcoml_NOKIA BSS PACKTargets_June2005_DURAZNOS 2 OFE_OFE UMBE _(Ref. 20-04-11)" xfId="1945"/>
    <cellStyle name="_Leadcoml_NOKIA BSS PACKTargets_June2005_DURAZNOS 2 OFE_RESUMEN DE HOJA DE OFERTA Y LIQUIDACION" xfId="1946"/>
    <cellStyle name="_Leadcoml_NOKIA BSS PACKTargets_June2005_Hoja Resumen Con Firmas" xfId="1947"/>
    <cellStyle name="_Leadcoml_NOKIA BSS PACKTargets_June2005_Hoja Resumen Con Firmas_20090928_EBC ADELA LOLI_JUDITH_VERONICA" xfId="1948"/>
    <cellStyle name="_Leadcoml_NOKIA BSS PACKTargets_June2005_Hoja Resumen Con Firmas_EBC TOCNOPE" xfId="1949"/>
    <cellStyle name="_Leadcoml_NOKIA BSS PACKTargets_June2005_Hoja Resumen Con Firmas_OFERTA DE GE - MONTE LOS OLIVOS - SIN TANQUES" xfId="1950"/>
    <cellStyle name="_Leadcoml_NOKIA BSS PACKTargets_June2005_PES0S para acarreo" xfId="1951"/>
    <cellStyle name="_Leadcoml_NOKIA BSS PACKTargets_June2005_PES0S para acarreo_ejemplo" xfId="1952"/>
    <cellStyle name="_Leadcoml_NOKIA BSS PACKTargets_June2005_PES0S para acarreo_Rep Choloque 30m - II" xfId="1953"/>
    <cellStyle name="_Leadcoml_NOKIA BSS PACKTargets_June2005_Rep Choloque 30m - II" xfId="1954"/>
    <cellStyle name="_Leadcoml_NOKIA BSS PACKTargets_June2005_Rep Choloque 30m - II_20090928_EBC ADELA LOLI_JUDITH_VERONICA" xfId="1955"/>
    <cellStyle name="_Leadcoml_NOKIA BSS PACKTargets_June2005_Rep Choloque 30m - II_EBC TOCNOPE" xfId="1956"/>
    <cellStyle name="_Leadcoml_NOKIA BSS PACKTargets_June2005_Rep Choloque 30m - II_OFERTA DE GE - MONTE LOS OLIVOS - SIN TANQUES" xfId="1957"/>
    <cellStyle name="_Leadcoml_NOKIA BSS PACKTargets_June2005_URA GRAU" xfId="1958"/>
    <cellStyle name="_Materiales MonteLima" xfId="1959"/>
    <cellStyle name="_Materiales MonteLima_OFE PUEBLO NUEVO SUR DE ICA" xfId="1960"/>
    <cellStyle name="_Materiales MonteLima_OFE PUEBLO NUEVO SUR DE ICA 2" xfId="1961"/>
    <cellStyle name="_Nortel_trabalho H" xfId="1962"/>
    <cellStyle name="_Parter Cost for CW (14-Sep-07)" xfId="1963"/>
    <cellStyle name="_PESO DE ESTRUC. Y PARTE METALICA 8X8(ERICSSON)" xfId="1964"/>
    <cellStyle name="_PESO DE ESTRUC. Y PARTE METALICA 8X8(ERICSSON)_Hoja Resumen Con Firmas" xfId="1965"/>
    <cellStyle name="_PESO DE ESTRUC. Y PARTE METALICA 8X8(ERICSSON)_Hoja Resumen Con Firmas_20090928_EBC ADELA LOLI_JUDITH_VERONICA" xfId="1966"/>
    <cellStyle name="_PESO DE ESTRUC. Y PARTE METALICA 8X8(ERICSSON)_Hoja Resumen Con Firmas_Cob-0105 Pilcocota" xfId="1967"/>
    <cellStyle name="_PESO DE ESTRUC. Y PARTE METALICA 8X8(ERICSSON)_Hoja Resumen Con Firmas_Cob-0105 Pilcocota_OFE UMBE _(Ref. 20-04-11)" xfId="1968"/>
    <cellStyle name="_PESO DE ESTRUC. Y PARTE METALICA 8X8(ERICSSON)_Hoja Resumen Con Firmas_Cob-0105 Pilcocota_RESUMEN DE HOJA DE OFERTA Y LIQUIDACION" xfId="1969"/>
    <cellStyle name="_PESO DE ESTRUC. Y PARTE METALICA 8X8(ERICSSON)_Hoja Resumen Con Firmas_EBC TOCNOPE" xfId="1970"/>
    <cellStyle name="_PESO DE ESTRUC. Y PARTE METALICA 8X8(ERICSSON)_Hoja Resumen Con Firmas_MOntelima" xfId="1971"/>
    <cellStyle name="_PESO DE ESTRUC. Y PARTE METALICA 8X8(ERICSSON)_Hoja Resumen Con Firmas_OFE UMBE _(Ref. 20-04-11)" xfId="1972"/>
    <cellStyle name="_PESO DE ESTRUC. Y PARTE METALICA 8X8(ERICSSON)_Hoja Resumen Con Firmas_OFERTA DE GE - MONTE LOS OLIVOS - SIN TANQUES" xfId="1973"/>
    <cellStyle name="_PESO DE ESTRUC. Y PARTE METALICA 8X8(ERICSSON)_Hoja Resumen Con Firmas_RESUMEN DE HOJA DE OFERTA Y LIQUIDACION" xfId="1974"/>
    <cellStyle name="_PESO DE ESTRUC. Y PARTE METALICA 8X8(ERICSSON)_Rep Choloque 30m - II" xfId="1975"/>
    <cellStyle name="_PESO DE ESTRUC. Y PARTE METALICA 8X8(ERICSSON)_Rep Choloque 30m - II_20090928_EBC ADELA LOLI_JUDITH_VERONICA" xfId="1976"/>
    <cellStyle name="_PESO DE ESTRUC. Y PARTE METALICA 8X8(ERICSSON)_Rep Choloque 30m - II_Cob-0105 Pilcocota" xfId="1977"/>
    <cellStyle name="_PESO DE ESTRUC. Y PARTE METALICA 8X8(ERICSSON)_Rep Choloque 30m - II_Cob-0105 Pilcocota_OFE UMBE _(Ref. 20-04-11)" xfId="1978"/>
    <cellStyle name="_PESO DE ESTRUC. Y PARTE METALICA 8X8(ERICSSON)_Rep Choloque 30m - II_Cob-0105 Pilcocota_RESUMEN DE HOJA DE OFERTA Y LIQUIDACION" xfId="1979"/>
    <cellStyle name="_PESO DE ESTRUC. Y PARTE METALICA 8X8(ERICSSON)_Rep Choloque 30m - II_EBC TOCNOPE" xfId="1980"/>
    <cellStyle name="_PESO DE ESTRUC. Y PARTE METALICA 8X8(ERICSSON)_Rep Choloque 30m - II_MOntelima" xfId="1981"/>
    <cellStyle name="_PESO DE ESTRUC. Y PARTE METALICA 8X8(ERICSSON)_Rep Choloque 30m - II_OFE UMBE _(Ref. 20-04-11)" xfId="1982"/>
    <cellStyle name="_PESO DE ESTRUC. Y PARTE METALICA 8X8(ERICSSON)_Rep Choloque 30m - II_OFERTA DE GE - MONTE LOS OLIVOS - SIN TANQUES" xfId="1983"/>
    <cellStyle name="_PESO DE ESTRUC. Y PARTE METALICA 8X8(ERICSSON)_Rep Choloque 30m - II_RESUMEN DE HOJA DE OFERTA Y LIQUIDACION" xfId="1984"/>
    <cellStyle name="_Pesos Cimentación T 16m SA" xfId="1985"/>
    <cellStyle name="_Pesos Cimentación T 16m SA_20090514-DURAZNOS 2-Diana&amp;Jose-R1" xfId="1986"/>
    <cellStyle name="_Pesos Cimentación T 16m SA_20090514-DURAZNOS 2-Diana&amp;Jose-R1_OFE UMBE _(Ref. 20-04-11)" xfId="1987"/>
    <cellStyle name="_Pesos Cimentación T 16m SA_20090514-DURAZNOS 2-Diana&amp;Jose-R1_RESUMEN DE HOJA DE OFERTA Y LIQUIDACION" xfId="1988"/>
    <cellStyle name="_Pesos Cimentación T 16m SA_20090609 EBC VILLA EDEN-Alberto-Oscar" xfId="1989"/>
    <cellStyle name="_Pesos Cimentación T 16m SA_20090716-AYARSA-ECELYNJOSE_final tm" xfId="1990"/>
    <cellStyle name="_Pesos Cimentación T 16m SA_20090716-AYARSA-ECELYNJOSE_final tm_Cob-0105 Pilcocota" xfId="1991"/>
    <cellStyle name="_Pesos Cimentación T 16m SA_20090716-AYARSA-ECELYNJOSE_final tm_Cob-0105 Pilcocota_OFE UMBE _(Ref. 20-04-11)" xfId="1992"/>
    <cellStyle name="_Pesos Cimentación T 16m SA_20090716-AYARSA-ECELYNJOSE_final tm_Cob-0105 Pilcocota_RESUMEN DE HOJA DE OFERTA Y LIQUIDACION" xfId="1993"/>
    <cellStyle name="_Pesos Cimentación T 16m SA_20090716-AYARSA-ECELYNJOSE_final tm_MOntelima" xfId="1994"/>
    <cellStyle name="_Pesos Cimentación T 16m SA_20090716-AYARSA-ECELYNJOSE_final tm_OFE UMBE _(Ref. 20-04-11)" xfId="1995"/>
    <cellStyle name="_Pesos Cimentación T 16m SA_20090716-AYARSA-ECELYNJOSE_final tm_RESUMEN DE HOJA DE OFERTA Y LIQUIDACION" xfId="1996"/>
    <cellStyle name="_Pesos Cimentación T 16m SA_DURAZNOS 2 OFE" xfId="1997"/>
    <cellStyle name="_Pesos Cimentación T 16m SA_DURAZNOS 2 OFE_OFE UMBE _(Ref. 20-04-11)" xfId="1998"/>
    <cellStyle name="_Pesos Cimentación T 16m SA_DURAZNOS 2 OFE_RESUMEN DE HOJA DE OFERTA Y LIQUIDACION" xfId="1999"/>
    <cellStyle name="_Pesos Cimentación T 16m SA_EBC CHOROPAMPA_Inicial_Aenor_Rev1" xfId="2000"/>
    <cellStyle name="_Pesos Cimentación T 16m SA_EBC CHOROPAMPA_Inicial_Aenor_Rev1_EBC Coronel Bardales_Inicial_Rev 1" xfId="2001"/>
    <cellStyle name="_Pesos Cimentación T 16m SA_EBC CHOROPAMPA_Inicial_Aenor_Rev1_EBC molinera tropical_Inicial_Rev 1" xfId="2002"/>
    <cellStyle name="_Pesos Cimentación T 16m SA_EBC CHOROPAMPA_Inicial_Aenor_Rev1_EPPSA METRADO!" xfId="2003"/>
    <cellStyle name="_Pesos Cimentación T 16m SA_Hoja Resumen Con Firmas" xfId="2004"/>
    <cellStyle name="_Pesos Cimentación T 16m SA_Hoja Resumen Con Firmas_20090928_EBC ADELA LOLI_JUDITH_VERONICA" xfId="2005"/>
    <cellStyle name="_Pesos Cimentación T 16m SA_Hoja Resumen Con Firmas_Cob-0105 Pilcocota" xfId="2006"/>
    <cellStyle name="_Pesos Cimentación T 16m SA_Hoja Resumen Con Firmas_Cob-0105 Pilcocota_OFE UMBE _(Ref. 20-04-11)" xfId="2007"/>
    <cellStyle name="_Pesos Cimentación T 16m SA_Hoja Resumen Con Firmas_Cob-0105 Pilcocota_RESUMEN DE HOJA DE OFERTA Y LIQUIDACION" xfId="2008"/>
    <cellStyle name="_Pesos Cimentación T 16m SA_Hoja Resumen Con Firmas_EBC TOCNOPE" xfId="2009"/>
    <cellStyle name="_Pesos Cimentación T 16m SA_Hoja Resumen Con Firmas_MOntelima" xfId="2010"/>
    <cellStyle name="_Pesos Cimentación T 16m SA_Hoja Resumen Con Firmas_OFE UMBE _(Ref. 20-04-11)" xfId="2011"/>
    <cellStyle name="_Pesos Cimentación T 16m SA_Hoja Resumen Con Firmas_OFERTA DE GE - MONTE LOS OLIVOS - SIN TANQUES" xfId="2012"/>
    <cellStyle name="_Pesos Cimentación T 16m SA_Hoja Resumen Con Firmas_RESUMEN DE HOJA DE OFERTA Y LIQUIDACION" xfId="2013"/>
    <cellStyle name="_Pesos Cimentación T 16m SA_PES0S para acarreo" xfId="2014"/>
    <cellStyle name="_Pesos Cimentación T 16m SA_PES0S para acarreo_20090928_EBC ADELA LOLI_JUDITH_VERONICA" xfId="2015"/>
    <cellStyle name="_Pesos Cimentación T 16m SA_PES0S para acarreo_Cob-0105 Pilcocota" xfId="2016"/>
    <cellStyle name="_Pesos Cimentación T 16m SA_PES0S para acarreo_Cob-0105 Pilcocota_OFE UMBE _(Ref. 20-04-11)" xfId="2017"/>
    <cellStyle name="_Pesos Cimentación T 16m SA_PES0S para acarreo_Cob-0105 Pilcocota_RESUMEN DE HOJA DE OFERTA Y LIQUIDACION" xfId="2018"/>
    <cellStyle name="_Pesos Cimentación T 16m SA_PES0S para acarreo_EBC TOCNOPE" xfId="2019"/>
    <cellStyle name="_Pesos Cimentación T 16m SA_PES0S para acarreo_MOntelima" xfId="2020"/>
    <cellStyle name="_Pesos Cimentación T 16m SA_PES0S para acarreo_OFE UMBE _(Ref. 20-04-11)" xfId="2021"/>
    <cellStyle name="_Pesos Cimentación T 16m SA_PES0S para acarreo_OFERTA DE GE - MONTE LOS OLIVOS - SIN TANQUES" xfId="2022"/>
    <cellStyle name="_Pesos Cimentación T 16m SA_PES0S para acarreo_RESUMEN DE HOJA DE OFERTA Y LIQUIDACION" xfId="2023"/>
    <cellStyle name="_Pesos Cimentación T 16m SA_Rep Choloque 30m - II" xfId="2024"/>
    <cellStyle name="_Pesos Cimentación T 16m SA_Rep Choloque 30m - II_20090928_EBC ADELA LOLI_JUDITH_VERONICA" xfId="2025"/>
    <cellStyle name="_Pesos Cimentación T 16m SA_Rep Choloque 30m - II_Cob-0105 Pilcocota" xfId="2026"/>
    <cellStyle name="_Pesos Cimentación T 16m SA_Rep Choloque 30m - II_Cob-0105 Pilcocota_OFE UMBE _(Ref. 20-04-11)" xfId="2027"/>
    <cellStyle name="_Pesos Cimentación T 16m SA_Rep Choloque 30m - II_Cob-0105 Pilcocota_RESUMEN DE HOJA DE OFERTA Y LIQUIDACION" xfId="2028"/>
    <cellStyle name="_Pesos Cimentación T 16m SA_Rep Choloque 30m - II_EBC TOCNOPE" xfId="2029"/>
    <cellStyle name="_Pesos Cimentación T 16m SA_Rep Choloque 30m - II_MOntelima" xfId="2030"/>
    <cellStyle name="_Pesos Cimentación T 16m SA_Rep Choloque 30m - II_OFE UMBE _(Ref. 20-04-11)" xfId="2031"/>
    <cellStyle name="_Pesos Cimentación T 16m SA_Rep Choloque 30m - II_OFERTA DE GE - MONTE LOS OLIVOS - SIN TANQUES" xfId="2032"/>
    <cellStyle name="_Pesos Cimentación T 16m SA_Rep Choloque 30m - II_RESUMEN DE HOJA DE OFERTA Y LIQUIDACION" xfId="2033"/>
    <cellStyle name="_Pesos Cimentación T 16m SA_URA GRAU" xfId="2034"/>
    <cellStyle name="_Planilla de CotizaciÃ³n  La" xfId="2035"/>
    <cellStyle name="_PLANILLA DE COTIZACION - COEFICIENTE UNICO DE COTIZACION" xfId="2036"/>
    <cellStyle name="_Planilla de cotizacion Ericsson - 2008" xfId="2037"/>
    <cellStyle name="_Planilla de Cotizacion REPUESTOS V4_Master" xfId="2038"/>
    <cellStyle name="_Planilla de Cotizacion REPUESTOS V4_Master_Hoja Resumen Con Firmas" xfId="2039"/>
    <cellStyle name="_Planilla de Cotizacion REPUESTOS V4_Master_Hoja Resumen Con Firmas_20090928_EBC ADELA LOLI_JUDITH_VERONICA" xfId="2040"/>
    <cellStyle name="_Planilla de Cotizacion REPUESTOS V4_Master_Hoja Resumen Con Firmas_Cob-0105 Pilcocota" xfId="2041"/>
    <cellStyle name="_Planilla de Cotizacion REPUESTOS V4_Master_Hoja Resumen Con Firmas_Cob-0105 Pilcocota_OFE UMBE _(Ref. 20-04-11)" xfId="2042"/>
    <cellStyle name="_Planilla de Cotizacion REPUESTOS V4_Master_Hoja Resumen Con Firmas_Cob-0105 Pilcocota_RESUMEN DE HOJA DE OFERTA Y LIQUIDACION" xfId="2043"/>
    <cellStyle name="_Planilla de Cotizacion REPUESTOS V4_Master_Hoja Resumen Con Firmas_EBC TOCNOPE" xfId="2044"/>
    <cellStyle name="_Planilla de Cotizacion REPUESTOS V4_Master_Hoja Resumen Con Firmas_MOntelima" xfId="2045"/>
    <cellStyle name="_Planilla de Cotizacion REPUESTOS V4_Master_Hoja Resumen Con Firmas_OFE UMBE _(Ref. 20-04-11)" xfId="2046"/>
    <cellStyle name="_Planilla de Cotizacion REPUESTOS V4_Master_Hoja Resumen Con Firmas_OFERTA DE GE - MONTE LOS OLIVOS - SIN TANQUES" xfId="2047"/>
    <cellStyle name="_Planilla de Cotizacion REPUESTOS V4_Master_Hoja Resumen Con Firmas_RESUMEN DE HOJA DE OFERTA Y LIQUIDACION" xfId="2048"/>
    <cellStyle name="_Planilla de Cotizacion REPUESTOS V4_Master_Rep Choloque 30m - II" xfId="2049"/>
    <cellStyle name="_Planilla de Cotizacion REPUESTOS V4_Master_Rep Choloque 30m - II_20090928_EBC ADELA LOLI_JUDITH_VERONICA" xfId="2050"/>
    <cellStyle name="_Planilla de Cotizacion REPUESTOS V4_Master_Rep Choloque 30m - II_Cob-0105 Pilcocota" xfId="2051"/>
    <cellStyle name="_Planilla de Cotizacion REPUESTOS V4_Master_Rep Choloque 30m - II_Cob-0105 Pilcocota_OFE UMBE _(Ref. 20-04-11)" xfId="2052"/>
    <cellStyle name="_Planilla de Cotizacion REPUESTOS V4_Master_Rep Choloque 30m - II_Cob-0105 Pilcocota_RESUMEN DE HOJA DE OFERTA Y LIQUIDACION" xfId="2053"/>
    <cellStyle name="_Planilla de Cotizacion REPUESTOS V4_Master_Rep Choloque 30m - II_EBC TOCNOPE" xfId="2054"/>
    <cellStyle name="_Planilla de Cotizacion REPUESTOS V4_Master_Rep Choloque 30m - II_MOntelima" xfId="2055"/>
    <cellStyle name="_Planilla de Cotizacion REPUESTOS V4_Master_Rep Choloque 30m - II_OFE UMBE _(Ref. 20-04-11)" xfId="2056"/>
    <cellStyle name="_Planilla de Cotizacion REPUESTOS V4_Master_Rep Choloque 30m - II_OFERTA DE GE - MONTE LOS OLIVOS - SIN TANQUES" xfId="2057"/>
    <cellStyle name="_Planilla de Cotizacion REPUESTOS V4_Master_Rep Choloque 30m - II_RESUMEN DE HOJA DE OFERTA Y LIQUIDACION" xfId="2058"/>
    <cellStyle name="_Planilla de Cotización Torres" xfId="2059"/>
    <cellStyle name="_Planilla de Cotizacion V5 - ZTE" xfId="2060"/>
    <cellStyle name="_Planilla de Cotizacion V5 (RFQ CA 01-12-2006 RevC) -Ericsson 04-12-2006" xfId="2061"/>
    <cellStyle name="_Planilla de Precios Movistar LatAm RFI Continente Azul 10102006 " xfId="2062"/>
    <cellStyle name="_Planilla METRADOS 2008" xfId="2063"/>
    <cellStyle name="_Planilla Precio-Costos 01-12-2006 RevD (Servicios con Mup1.55)_CA" xfId="2064"/>
    <cellStyle name="_Planilla Precio-Costos 01-12-2006 RevD (Servicios con Mup1.55)_CA_Hoja Resumen Con Firmas" xfId="2065"/>
    <cellStyle name="_Planilla Precio-Costos 01-12-2006 RevD (Servicios con Mup1.55)_CA_Hoja Resumen Con Firmas_20090928_EBC ADELA LOLI_JUDITH_VERONICA" xfId="2066"/>
    <cellStyle name="_Planilla Precio-Costos 01-12-2006 RevD (Servicios con Mup1.55)_CA_Hoja Resumen Con Firmas_Cob-0105 Pilcocota" xfId="2067"/>
    <cellStyle name="_Planilla Precio-Costos 01-12-2006 RevD (Servicios con Mup1.55)_CA_Hoja Resumen Con Firmas_Cob-0105 Pilcocota_OFE UMBE _(Ref. 20-04-11)" xfId="2068"/>
    <cellStyle name="_Planilla Precio-Costos 01-12-2006 RevD (Servicios con Mup1.55)_CA_Hoja Resumen Con Firmas_Cob-0105 Pilcocota_RESUMEN DE HOJA DE OFERTA Y LIQUIDACION" xfId="2069"/>
    <cellStyle name="_Planilla Precio-Costos 01-12-2006 RevD (Servicios con Mup1.55)_CA_Hoja Resumen Con Firmas_EBC TOCNOPE" xfId="2070"/>
    <cellStyle name="_Planilla Precio-Costos 01-12-2006 RevD (Servicios con Mup1.55)_CA_Hoja Resumen Con Firmas_MOntelima" xfId="2071"/>
    <cellStyle name="_Planilla Precio-Costos 01-12-2006 RevD (Servicios con Mup1.55)_CA_Hoja Resumen Con Firmas_OFE UMBE _(Ref. 20-04-11)" xfId="2072"/>
    <cellStyle name="_Planilla Precio-Costos 01-12-2006 RevD (Servicios con Mup1.55)_CA_Hoja Resumen Con Firmas_OFERTA DE GE - MONTE LOS OLIVOS - SIN TANQUES" xfId="2073"/>
    <cellStyle name="_Planilla Precio-Costos 01-12-2006 RevD (Servicios con Mup1.55)_CA_Hoja Resumen Con Firmas_RESUMEN DE HOJA DE OFERTA Y LIQUIDACION" xfId="2074"/>
    <cellStyle name="_Planilla Precio-Costos 01-12-2006 RevD (Servicios con Mup1.55)_CA_Rep Choloque 30m - II" xfId="2075"/>
    <cellStyle name="_Planilla Precio-Costos 01-12-2006 RevD (Servicios con Mup1.55)_CA_Rep Choloque 30m - II_20090928_EBC ADELA LOLI_JUDITH_VERONICA" xfId="2076"/>
    <cellStyle name="_Planilla Precio-Costos 01-12-2006 RevD (Servicios con Mup1.55)_CA_Rep Choloque 30m - II_Cob-0105 Pilcocota" xfId="2077"/>
    <cellStyle name="_Planilla Precio-Costos 01-12-2006 RevD (Servicios con Mup1.55)_CA_Rep Choloque 30m - II_Cob-0105 Pilcocota_OFE UMBE _(Ref. 20-04-11)" xfId="2078"/>
    <cellStyle name="_Planilla Precio-Costos 01-12-2006 RevD (Servicios con Mup1.55)_CA_Rep Choloque 30m - II_Cob-0105 Pilcocota_RESUMEN DE HOJA DE OFERTA Y LIQUIDACION" xfId="2079"/>
    <cellStyle name="_Planilla Precio-Costos 01-12-2006 RevD (Servicios con Mup1.55)_CA_Rep Choloque 30m - II_EBC TOCNOPE" xfId="2080"/>
    <cellStyle name="_Planilla Precio-Costos 01-12-2006 RevD (Servicios con Mup1.55)_CA_Rep Choloque 30m - II_MOntelima" xfId="2081"/>
    <cellStyle name="_Planilla Precio-Costos 01-12-2006 RevD (Servicios con Mup1.55)_CA_Rep Choloque 30m - II_OFE UMBE _(Ref. 20-04-11)" xfId="2082"/>
    <cellStyle name="_Planilla Precio-Costos 01-12-2006 RevD (Servicios con Mup1.55)_CA_Rep Choloque 30m - II_OFERTA DE GE - MONTE LOS OLIVOS - SIN TANQUES" xfId="2083"/>
    <cellStyle name="_Planilla Precio-Costos 01-12-2006 RevD (Servicios con Mup1.55)_CA_Rep Choloque 30m - II_RESUMEN DE HOJA DE OFERTA Y LIQUIDACION" xfId="2084"/>
    <cellStyle name="_Plantilla Cotización Obra Especifica MEXICO (5)" xfId="2085"/>
    <cellStyle name="_Plantilla Cotización Obra Especifica MEXICO (6)" xfId="2086"/>
    <cellStyle name="_Plantilla Infra Precios referencia - Para cálculo r1 - 07" xfId="2087"/>
    <cellStyle name="_PRECIARIO_090906_NOKIA(1)" xfId="2088"/>
    <cellStyle name="_PRECIARIO_090906_NOKIA(1)_20090514-DURAZNOS 2-Diana&amp;Jose-R1" xfId="2089"/>
    <cellStyle name="_PRECIARIO_090906_NOKIA(1)_20090514-DURAZNOS 2-Diana&amp;Jose-R1_OFE UMBE _(Ref. 20-04-11)" xfId="2090"/>
    <cellStyle name="_PRECIARIO_090906_NOKIA(1)_20090514-DURAZNOS 2-Diana&amp;Jose-R1_RESUMEN DE HOJA DE OFERTA Y LIQUIDACION" xfId="2091"/>
    <cellStyle name="_PRECIARIO_090906_NOKIA(1)_20090609 EBC VILLA EDEN-Alberto-Oscar" xfId="2092"/>
    <cellStyle name="_PRECIARIO_090906_NOKIA(1)_20090716-AYARSA-ECELYNJOSE_final tm" xfId="2093"/>
    <cellStyle name="_PRECIARIO_090906_NOKIA(1)_20090716-AYARSA-ECELYNJOSE_final tm_Cob-0105 Pilcocota" xfId="2094"/>
    <cellStyle name="_PRECIARIO_090906_NOKIA(1)_20090716-AYARSA-ECELYNJOSE_final tm_Cob-0105 Pilcocota_OFE UMBE _(Ref. 20-04-11)" xfId="2095"/>
    <cellStyle name="_PRECIARIO_090906_NOKIA(1)_20090716-AYARSA-ECELYNJOSE_final tm_Cob-0105 Pilcocota_RESUMEN DE HOJA DE OFERTA Y LIQUIDACION" xfId="2096"/>
    <cellStyle name="_PRECIARIO_090906_NOKIA(1)_20090716-AYARSA-ECELYNJOSE_final tm_MOntelima" xfId="2097"/>
    <cellStyle name="_PRECIARIO_090906_NOKIA(1)_20090716-AYARSA-ECELYNJOSE_final tm_OFE UMBE _(Ref. 20-04-11)" xfId="2098"/>
    <cellStyle name="_PRECIARIO_090906_NOKIA(1)_20090716-AYARSA-ECELYNJOSE_final tm_RESUMEN DE HOJA DE OFERTA Y LIQUIDACION" xfId="2099"/>
    <cellStyle name="_PRECIARIO_090906_NOKIA(1)_DURAZNOS 2 OFE" xfId="2100"/>
    <cellStyle name="_PRECIARIO_090906_NOKIA(1)_DURAZNOS 2 OFE_OFE UMBE _(Ref. 20-04-11)" xfId="2101"/>
    <cellStyle name="_PRECIARIO_090906_NOKIA(1)_DURAZNOS 2 OFE_RESUMEN DE HOJA DE OFERTA Y LIQUIDACION" xfId="2102"/>
    <cellStyle name="_PRECIARIO_090906_NOKIA(1)_EBC CHOROPAMPA_Inicial_Aenor_Rev1" xfId="2103"/>
    <cellStyle name="_PRECIARIO_090906_NOKIA(1)_EBC CHOROPAMPA_Inicial_Aenor_Rev1_EBC Coronel Bardales_Inicial_Rev 1" xfId="2104"/>
    <cellStyle name="_PRECIARIO_090906_NOKIA(1)_EBC CHOROPAMPA_Inicial_Aenor_Rev1_EBC molinera tropical_Inicial_Rev 1" xfId="2105"/>
    <cellStyle name="_PRECIARIO_090906_NOKIA(1)_EBC CHOROPAMPA_Inicial_Aenor_Rev1_EPPSA METRADO!" xfId="2106"/>
    <cellStyle name="_PRECIARIO_090906_NOKIA(1)_Hoja Resumen Con Firmas" xfId="2107"/>
    <cellStyle name="_PRECIARIO_090906_NOKIA(1)_Hoja Resumen Con Firmas_20090928_EBC ADELA LOLI_JUDITH_VERONICA" xfId="2108"/>
    <cellStyle name="_PRECIARIO_090906_NOKIA(1)_Hoja Resumen Con Firmas_Cob-0105 Pilcocota" xfId="2109"/>
    <cellStyle name="_PRECIARIO_090906_NOKIA(1)_Hoja Resumen Con Firmas_Cob-0105 Pilcocota_OFE UMBE _(Ref. 20-04-11)" xfId="2110"/>
    <cellStyle name="_PRECIARIO_090906_NOKIA(1)_Hoja Resumen Con Firmas_Cob-0105 Pilcocota_RESUMEN DE HOJA DE OFERTA Y LIQUIDACION" xfId="2111"/>
    <cellStyle name="_PRECIARIO_090906_NOKIA(1)_Hoja Resumen Con Firmas_EBC TOCNOPE" xfId="2112"/>
    <cellStyle name="_PRECIARIO_090906_NOKIA(1)_Hoja Resumen Con Firmas_MOntelima" xfId="2113"/>
    <cellStyle name="_PRECIARIO_090906_NOKIA(1)_Hoja Resumen Con Firmas_OFE UMBE _(Ref. 20-04-11)" xfId="2114"/>
    <cellStyle name="_PRECIARIO_090906_NOKIA(1)_Hoja Resumen Con Firmas_OFERTA DE GE - MONTE LOS OLIVOS - SIN TANQUES" xfId="2115"/>
    <cellStyle name="_PRECIARIO_090906_NOKIA(1)_Hoja Resumen Con Firmas_RESUMEN DE HOJA DE OFERTA Y LIQUIDACION" xfId="2116"/>
    <cellStyle name="_PRECIARIO_090906_NOKIA(1)_PES0S para acarreo" xfId="2117"/>
    <cellStyle name="_PRECIARIO_090906_NOKIA(1)_PES0S para acarreo_20090928_EBC ADELA LOLI_JUDITH_VERONICA" xfId="2118"/>
    <cellStyle name="_PRECIARIO_090906_NOKIA(1)_PES0S para acarreo_Cob-0105 Pilcocota" xfId="2119"/>
    <cellStyle name="_PRECIARIO_090906_NOKIA(1)_PES0S para acarreo_Cob-0105 Pilcocota_OFE UMBE _(Ref. 20-04-11)" xfId="2120"/>
    <cellStyle name="_PRECIARIO_090906_NOKIA(1)_PES0S para acarreo_Cob-0105 Pilcocota_RESUMEN DE HOJA DE OFERTA Y LIQUIDACION" xfId="2121"/>
    <cellStyle name="_PRECIARIO_090906_NOKIA(1)_PES0S para acarreo_EBC TOCNOPE" xfId="2122"/>
    <cellStyle name="_PRECIARIO_090906_NOKIA(1)_PES0S para acarreo_MOntelima" xfId="2123"/>
    <cellStyle name="_PRECIARIO_090906_NOKIA(1)_PES0S para acarreo_OFE UMBE _(Ref. 20-04-11)" xfId="2124"/>
    <cellStyle name="_PRECIARIO_090906_NOKIA(1)_PES0S para acarreo_OFERTA DE GE - MONTE LOS OLIVOS - SIN TANQUES" xfId="2125"/>
    <cellStyle name="_PRECIARIO_090906_NOKIA(1)_PES0S para acarreo_RESUMEN DE HOJA DE OFERTA Y LIQUIDACION" xfId="2126"/>
    <cellStyle name="_PRECIARIO_090906_NOKIA(1)_Rep Choloque 30m - II" xfId="2127"/>
    <cellStyle name="_PRECIARIO_090906_NOKIA(1)_Rep Choloque 30m - II_20090928_EBC ADELA LOLI_JUDITH_VERONICA" xfId="2128"/>
    <cellStyle name="_PRECIARIO_090906_NOKIA(1)_Rep Choloque 30m - II_Cob-0105 Pilcocota" xfId="2129"/>
    <cellStyle name="_PRECIARIO_090906_NOKIA(1)_Rep Choloque 30m - II_Cob-0105 Pilcocota_OFE UMBE _(Ref. 20-04-11)" xfId="2130"/>
    <cellStyle name="_PRECIARIO_090906_NOKIA(1)_Rep Choloque 30m - II_Cob-0105 Pilcocota_RESUMEN DE HOJA DE OFERTA Y LIQUIDACION" xfId="2131"/>
    <cellStyle name="_PRECIARIO_090906_NOKIA(1)_Rep Choloque 30m - II_EBC TOCNOPE" xfId="2132"/>
    <cellStyle name="_PRECIARIO_090906_NOKIA(1)_Rep Choloque 30m - II_MOntelima" xfId="2133"/>
    <cellStyle name="_PRECIARIO_090906_NOKIA(1)_Rep Choloque 30m - II_OFE UMBE _(Ref. 20-04-11)" xfId="2134"/>
    <cellStyle name="_PRECIARIO_090906_NOKIA(1)_Rep Choloque 30m - II_OFERTA DE GE - MONTE LOS OLIVOS - SIN TANQUES" xfId="2135"/>
    <cellStyle name="_PRECIARIO_090906_NOKIA(1)_Rep Choloque 30m - II_RESUMEN DE HOJA DE OFERTA Y LIQUIDACION" xfId="2136"/>
    <cellStyle name="_PRECIARIO_090906_NOKIA(1)_URA GRAU" xfId="2137"/>
    <cellStyle name="_Precios Sombra Azul SSS - Rev L - 11 Octubre 2006" xfId="2138"/>
    <cellStyle name="_Presupuestos Spat Yuracmayo" xfId="2139"/>
    <cellStyle name="_Presupuestos Spat Yuracmayo_ejemplo" xfId="2140"/>
    <cellStyle name="_Presupuestos Spat Yuracmayo_Hoja Resumen Con Firmas" xfId="2141"/>
    <cellStyle name="_Presupuestos Spat Yuracmayo_Rep Choloque 30m - II" xfId="2142"/>
    <cellStyle name="_Price RFP SGSN Escenarios 6 nodos 17 oct" xfId="2143"/>
    <cellStyle name="_Pricing ANEXO 11 - Rev A - 2006-11-27" xfId="2144"/>
    <cellStyle name="_Pricing ANEXO 5.02 - Plantilla de Cotización Modalidad ii LATAM V1" xfId="2145"/>
    <cellStyle name="_PRUEBA" xfId="2146"/>
    <cellStyle name="_Pto0010-1-08" xfId="2147"/>
    <cellStyle name="_Pto0010-1-08_OFE PUEBLO NUEVO SUR DE ICA" xfId="2148"/>
    <cellStyle name="_Pto0010-1-08_OFE PUEBLO NUEVO SUR DE ICA 2" xfId="2149"/>
    <cellStyle name="_Pto0034-1-08-p" xfId="2150"/>
    <cellStyle name="_Pto0034-1-08-p_Hoja Resumen Con Firmas" xfId="2151"/>
    <cellStyle name="_Pto0034-1-08-p_Hoja Resumen Con Firmas_20090928_EBC ADELA LOLI_JUDITH_VERONICA" xfId="2152"/>
    <cellStyle name="_Pto0034-1-08-p_Hoja Resumen Con Firmas_Cob-0105 Pilcocota" xfId="2153"/>
    <cellStyle name="_Pto0034-1-08-p_Hoja Resumen Con Firmas_Cob-0105 Pilcocota_OFE UMBE _(Ref. 20-04-11)" xfId="2154"/>
    <cellStyle name="_Pto0034-1-08-p_Hoja Resumen Con Firmas_Cob-0105 Pilcocota_RESUMEN DE HOJA DE OFERTA Y LIQUIDACION" xfId="2155"/>
    <cellStyle name="_Pto0034-1-08-p_Hoja Resumen Con Firmas_EBC TOCNOPE" xfId="2156"/>
    <cellStyle name="_Pto0034-1-08-p_Hoja Resumen Con Firmas_MOntelima" xfId="2157"/>
    <cellStyle name="_Pto0034-1-08-p_Hoja Resumen Con Firmas_OFE UMBE _(Ref. 20-04-11)" xfId="2158"/>
    <cellStyle name="_Pto0034-1-08-p_Hoja Resumen Con Firmas_OFERTA DE GE - MONTE LOS OLIVOS - SIN TANQUES" xfId="2159"/>
    <cellStyle name="_Pto0034-1-08-p_Hoja Resumen Con Firmas_RESUMEN DE HOJA DE OFERTA Y LIQUIDACION" xfId="2160"/>
    <cellStyle name="_Pto0034-1-08-p_Rep Choloque 30m - II" xfId="2161"/>
    <cellStyle name="_Pto0034-1-08-p_Rep Choloque 30m - II_20090928_EBC ADELA LOLI_JUDITH_VERONICA" xfId="2162"/>
    <cellStyle name="_Pto0034-1-08-p_Rep Choloque 30m - II_Cob-0105 Pilcocota" xfId="2163"/>
    <cellStyle name="_Pto0034-1-08-p_Rep Choloque 30m - II_Cob-0105 Pilcocota_OFE UMBE _(Ref. 20-04-11)" xfId="2164"/>
    <cellStyle name="_Pto0034-1-08-p_Rep Choloque 30m - II_Cob-0105 Pilcocota_RESUMEN DE HOJA DE OFERTA Y LIQUIDACION" xfId="2165"/>
    <cellStyle name="_Pto0034-1-08-p_Rep Choloque 30m - II_EBC TOCNOPE" xfId="2166"/>
    <cellStyle name="_Pto0034-1-08-p_Rep Choloque 30m - II_MOntelima" xfId="2167"/>
    <cellStyle name="_Pto0034-1-08-p_Rep Choloque 30m - II_OFE UMBE _(Ref. 20-04-11)" xfId="2168"/>
    <cellStyle name="_Pto0034-1-08-p_Rep Choloque 30m - II_OFERTA DE GE - MONTE LOS OLIVOS - SIN TANQUES" xfId="2169"/>
    <cellStyle name="_Pto0034-1-08-p_Rep Choloque 30m - II_RESUMEN DE HOJA DE OFERTA Y LIQUIDACION" xfId="2170"/>
    <cellStyle name="_Pto0105-9-07" xfId="2171"/>
    <cellStyle name="_Pto0105-9-07_Hoja Resumen Con Firmas" xfId="2172"/>
    <cellStyle name="_Pto0105-9-07_Hoja Resumen Con Firmas_20090928_EBC ADELA LOLI_JUDITH_VERONICA" xfId="2173"/>
    <cellStyle name="_Pto0105-9-07_Hoja Resumen Con Firmas_Cob-0105 Pilcocota" xfId="2174"/>
    <cellStyle name="_Pto0105-9-07_Hoja Resumen Con Firmas_Cob-0105 Pilcocota_OFE UMBE _(Ref. 20-04-11)" xfId="2175"/>
    <cellStyle name="_Pto0105-9-07_Hoja Resumen Con Firmas_Cob-0105 Pilcocota_RESUMEN DE HOJA DE OFERTA Y LIQUIDACION" xfId="2176"/>
    <cellStyle name="_Pto0105-9-07_Hoja Resumen Con Firmas_EBC TOCNOPE" xfId="2177"/>
    <cellStyle name="_Pto0105-9-07_Hoja Resumen Con Firmas_MOntelima" xfId="2178"/>
    <cellStyle name="_Pto0105-9-07_Hoja Resumen Con Firmas_OFE UMBE _(Ref. 20-04-11)" xfId="2179"/>
    <cellStyle name="_Pto0105-9-07_Hoja Resumen Con Firmas_OFERTA DE GE - MONTE LOS OLIVOS - SIN TANQUES" xfId="2180"/>
    <cellStyle name="_Pto0105-9-07_Hoja Resumen Con Firmas_RESUMEN DE HOJA DE OFERTA Y LIQUIDACION" xfId="2181"/>
    <cellStyle name="_Pto0105-9-07_Rep Choloque 30m - II" xfId="2182"/>
    <cellStyle name="_Pto0105-9-07_Rep Choloque 30m - II_20090928_EBC ADELA LOLI_JUDITH_VERONICA" xfId="2183"/>
    <cellStyle name="_Pto0105-9-07_Rep Choloque 30m - II_Cob-0105 Pilcocota" xfId="2184"/>
    <cellStyle name="_Pto0105-9-07_Rep Choloque 30m - II_Cob-0105 Pilcocota_OFE UMBE _(Ref. 20-04-11)" xfId="2185"/>
    <cellStyle name="_Pto0105-9-07_Rep Choloque 30m - II_Cob-0105 Pilcocota_RESUMEN DE HOJA DE OFERTA Y LIQUIDACION" xfId="2186"/>
    <cellStyle name="_Pto0105-9-07_Rep Choloque 30m - II_EBC TOCNOPE" xfId="2187"/>
    <cellStyle name="_Pto0105-9-07_Rep Choloque 30m - II_MOntelima" xfId="2188"/>
    <cellStyle name="_Pto0105-9-07_Rep Choloque 30m - II_OFE UMBE _(Ref. 20-04-11)" xfId="2189"/>
    <cellStyle name="_Pto0105-9-07_Rep Choloque 30m - II_OFERTA DE GE - MONTE LOS OLIVOS - SIN TANQUES" xfId="2190"/>
    <cellStyle name="_Pto0105-9-07_Rep Choloque 30m - II_RESUMEN DE HOJA DE OFERTA Y LIQUIDACION" xfId="2191"/>
    <cellStyle name="_Pto0146-3-07" xfId="2192"/>
    <cellStyle name="_Pto0146-3-07_Hoja Resumen Con Firmas" xfId="2193"/>
    <cellStyle name="_Pto0146-3-07_Hoja Resumen Con Firmas_20090928_EBC ADELA LOLI_JUDITH_VERONICA" xfId="2194"/>
    <cellStyle name="_Pto0146-3-07_Hoja Resumen Con Firmas_Cob-0105 Pilcocota" xfId="2195"/>
    <cellStyle name="_Pto0146-3-07_Hoja Resumen Con Firmas_Cob-0105 Pilcocota_OFE UMBE _(Ref. 20-04-11)" xfId="2196"/>
    <cellStyle name="_Pto0146-3-07_Hoja Resumen Con Firmas_Cob-0105 Pilcocota_RESUMEN DE HOJA DE OFERTA Y LIQUIDACION" xfId="2197"/>
    <cellStyle name="_Pto0146-3-07_Hoja Resumen Con Firmas_EBC TOCNOPE" xfId="2198"/>
    <cellStyle name="_Pto0146-3-07_Hoja Resumen Con Firmas_MOntelima" xfId="2199"/>
    <cellStyle name="_Pto0146-3-07_Hoja Resumen Con Firmas_OFE UMBE _(Ref. 20-04-11)" xfId="2200"/>
    <cellStyle name="_Pto0146-3-07_Hoja Resumen Con Firmas_OFERTA DE GE - MONTE LOS OLIVOS - SIN TANQUES" xfId="2201"/>
    <cellStyle name="_Pto0146-3-07_Hoja Resumen Con Firmas_RESUMEN DE HOJA DE OFERTA Y LIQUIDACION" xfId="2202"/>
    <cellStyle name="_Pto0146-3-07_Rep Choloque 30m - II" xfId="2203"/>
    <cellStyle name="_Pto0146-3-07_Rep Choloque 30m - II_20090928_EBC ADELA LOLI_JUDITH_VERONICA" xfId="2204"/>
    <cellStyle name="_Pto0146-3-07_Rep Choloque 30m - II_Cob-0105 Pilcocota" xfId="2205"/>
    <cellStyle name="_Pto0146-3-07_Rep Choloque 30m - II_Cob-0105 Pilcocota_OFE UMBE _(Ref. 20-04-11)" xfId="2206"/>
    <cellStyle name="_Pto0146-3-07_Rep Choloque 30m - II_Cob-0105 Pilcocota_RESUMEN DE HOJA DE OFERTA Y LIQUIDACION" xfId="2207"/>
    <cellStyle name="_Pto0146-3-07_Rep Choloque 30m - II_EBC TOCNOPE" xfId="2208"/>
    <cellStyle name="_Pto0146-3-07_Rep Choloque 30m - II_MOntelima" xfId="2209"/>
    <cellStyle name="_Pto0146-3-07_Rep Choloque 30m - II_OFE UMBE _(Ref. 20-04-11)" xfId="2210"/>
    <cellStyle name="_Pto0146-3-07_Rep Choloque 30m - II_OFERTA DE GE - MONTE LOS OLIVOS - SIN TANQUES" xfId="2211"/>
    <cellStyle name="_Pto0146-3-07_Rep Choloque 30m - II_RESUMEN DE HOJA DE OFERTA Y LIQUIDACION" xfId="2212"/>
    <cellStyle name="_Pto0344-1-07" xfId="2213"/>
    <cellStyle name="_Pto0344-1-07_Hoja Resumen Con Firmas" xfId="2214"/>
    <cellStyle name="_Pto0344-1-07_Hoja Resumen Con Firmas_20090928_EBC ADELA LOLI_JUDITH_VERONICA" xfId="2215"/>
    <cellStyle name="_Pto0344-1-07_Hoja Resumen Con Firmas_Cob-0105 Pilcocota" xfId="2216"/>
    <cellStyle name="_Pto0344-1-07_Hoja Resumen Con Firmas_Cob-0105 Pilcocota_OFE UMBE _(Ref. 20-04-11)" xfId="2217"/>
    <cellStyle name="_Pto0344-1-07_Hoja Resumen Con Firmas_Cob-0105 Pilcocota_RESUMEN DE HOJA DE OFERTA Y LIQUIDACION" xfId="2218"/>
    <cellStyle name="_Pto0344-1-07_Hoja Resumen Con Firmas_EBC TOCNOPE" xfId="2219"/>
    <cellStyle name="_Pto0344-1-07_Hoja Resumen Con Firmas_MOntelima" xfId="2220"/>
    <cellStyle name="_Pto0344-1-07_Hoja Resumen Con Firmas_OFE UMBE _(Ref. 20-04-11)" xfId="2221"/>
    <cellStyle name="_Pto0344-1-07_Hoja Resumen Con Firmas_OFERTA DE GE - MONTE LOS OLIVOS - SIN TANQUES" xfId="2222"/>
    <cellStyle name="_Pto0344-1-07_Hoja Resumen Con Firmas_RESUMEN DE HOJA DE OFERTA Y LIQUIDACION" xfId="2223"/>
    <cellStyle name="_Pto0344-1-07_Rep Choloque 30m - II" xfId="2224"/>
    <cellStyle name="_Pto0344-1-07_Rep Choloque 30m - II_20090928_EBC ADELA LOLI_JUDITH_VERONICA" xfId="2225"/>
    <cellStyle name="_Pto0344-1-07_Rep Choloque 30m - II_Cob-0105 Pilcocota" xfId="2226"/>
    <cellStyle name="_Pto0344-1-07_Rep Choloque 30m - II_Cob-0105 Pilcocota_OFE UMBE _(Ref. 20-04-11)" xfId="2227"/>
    <cellStyle name="_Pto0344-1-07_Rep Choloque 30m - II_Cob-0105 Pilcocota_RESUMEN DE HOJA DE OFERTA Y LIQUIDACION" xfId="2228"/>
    <cellStyle name="_Pto0344-1-07_Rep Choloque 30m - II_EBC TOCNOPE" xfId="2229"/>
    <cellStyle name="_Pto0344-1-07_Rep Choloque 30m - II_MOntelima" xfId="2230"/>
    <cellStyle name="_Pto0344-1-07_Rep Choloque 30m - II_OFE UMBE _(Ref. 20-04-11)" xfId="2231"/>
    <cellStyle name="_Pto0344-1-07_Rep Choloque 30m - II_OFERTA DE GE - MONTE LOS OLIVOS - SIN TANQUES" xfId="2232"/>
    <cellStyle name="_Pto0344-1-07_Rep Choloque 30m - II_RESUMEN DE HOJA DE OFERTA Y LIQUIDACION" xfId="2233"/>
    <cellStyle name="_Pto1328-3-07" xfId="2234"/>
    <cellStyle name="_Pto1328-3-07_OFE PUEBLO NUEVO SUR DE ICA" xfId="2235"/>
    <cellStyle name="_Pto1328-3-07_OFE PUEBLO NUEVO SUR DE ICA 2" xfId="2236"/>
    <cellStyle name="_Qs Continente Azul V2" xfId="2237"/>
    <cellStyle name="_Qs Ericsson 161106 v2_CA" xfId="2238"/>
    <cellStyle name="_Qs Ericsson 161106 v2_CA_Hoja Resumen Con Firmas" xfId="2239"/>
    <cellStyle name="_Qs Ericsson 161106 v2_CA_Hoja Resumen Con Firmas_20090928_EBC ADELA LOLI_JUDITH_VERONICA" xfId="2240"/>
    <cellStyle name="_Qs Ericsson 161106 v2_CA_Hoja Resumen Con Firmas_Cob-0105 Pilcocota" xfId="2241"/>
    <cellStyle name="_Qs Ericsson 161106 v2_CA_Hoja Resumen Con Firmas_Cob-0105 Pilcocota_OFE UMBE _(Ref. 20-04-11)" xfId="2242"/>
    <cellStyle name="_Qs Ericsson 161106 v2_CA_Hoja Resumen Con Firmas_Cob-0105 Pilcocota_RESUMEN DE HOJA DE OFERTA Y LIQUIDACION" xfId="2243"/>
    <cellStyle name="_Qs Ericsson 161106 v2_CA_Hoja Resumen Con Firmas_EBC TOCNOPE" xfId="2244"/>
    <cellStyle name="_Qs Ericsson 161106 v2_CA_Hoja Resumen Con Firmas_MOntelima" xfId="2245"/>
    <cellStyle name="_Qs Ericsson 161106 v2_CA_Hoja Resumen Con Firmas_OFE UMBE _(Ref. 20-04-11)" xfId="2246"/>
    <cellStyle name="_Qs Ericsson 161106 v2_CA_Hoja Resumen Con Firmas_OFERTA DE GE - MONTE LOS OLIVOS - SIN TANQUES" xfId="2247"/>
    <cellStyle name="_Qs Ericsson 161106 v2_CA_Hoja Resumen Con Firmas_RESUMEN DE HOJA DE OFERTA Y LIQUIDACION" xfId="2248"/>
    <cellStyle name="_Qs Ericsson 161106 v2_CA_Rep Choloque 30m - II" xfId="2249"/>
    <cellStyle name="_Qs Ericsson 161106 v2_CA_Rep Choloque 30m - II_20090928_EBC ADELA LOLI_JUDITH_VERONICA" xfId="2250"/>
    <cellStyle name="_Qs Ericsson 161106 v2_CA_Rep Choloque 30m - II_Cob-0105 Pilcocota" xfId="2251"/>
    <cellStyle name="_Qs Ericsson 161106 v2_CA_Rep Choloque 30m - II_Cob-0105 Pilcocota_OFE UMBE _(Ref. 20-04-11)" xfId="2252"/>
    <cellStyle name="_Qs Ericsson 161106 v2_CA_Rep Choloque 30m - II_Cob-0105 Pilcocota_RESUMEN DE HOJA DE OFERTA Y LIQUIDACION" xfId="2253"/>
    <cellStyle name="_Qs Ericsson 161106 v2_CA_Rep Choloque 30m - II_EBC TOCNOPE" xfId="2254"/>
    <cellStyle name="_Qs Ericsson 161106 v2_CA_Rep Choloque 30m - II_MOntelima" xfId="2255"/>
    <cellStyle name="_Qs Ericsson 161106 v2_CA_Rep Choloque 30m - II_OFE UMBE _(Ref. 20-04-11)" xfId="2256"/>
    <cellStyle name="_Qs Ericsson 161106 v2_CA_Rep Choloque 30m - II_OFERTA DE GE - MONTE LOS OLIVOS - SIN TANQUES" xfId="2257"/>
    <cellStyle name="_Qs Ericsson 161106 v2_CA_Rep Choloque 30m - II_RESUMEN DE HOJA DE OFERTA Y LIQUIDACION" xfId="2258"/>
    <cellStyle name="_Qs Ericsson 161106 v2_Master_V4_A1_Interno" xfId="2259"/>
    <cellStyle name="_Qs Ericsson 301006 (SVS)" xfId="2260"/>
    <cellStyle name="_Qs Ericsson 301006 (SVS) Rev A (2)" xfId="2261"/>
    <cellStyle name="_Qs Ericsson 301006_Servicios MEX (2)" xfId="2262"/>
    <cellStyle name="_Qs Ericsson 301006_Servicios MEX (2)_Hoja Resumen Con Firmas" xfId="2263"/>
    <cellStyle name="_Qs Ericsson 301006_Servicios MEX (2)_Hoja Resumen Con Firmas_20090928_EBC ADELA LOLI_JUDITH_VERONICA" xfId="2264"/>
    <cellStyle name="_Qs Ericsson 301006_Servicios MEX (2)_Hoja Resumen Con Firmas_Cob-0105 Pilcocota" xfId="2265"/>
    <cellStyle name="_Qs Ericsson 301006_Servicios MEX (2)_Hoja Resumen Con Firmas_Cob-0105 Pilcocota_OFE UMBE _(Ref. 20-04-11)" xfId="2266"/>
    <cellStyle name="_Qs Ericsson 301006_Servicios MEX (2)_Hoja Resumen Con Firmas_Cob-0105 Pilcocota_RESUMEN DE HOJA DE OFERTA Y LIQUIDACION" xfId="2267"/>
    <cellStyle name="_Qs Ericsson 301006_Servicios MEX (2)_Hoja Resumen Con Firmas_EBC TOCNOPE" xfId="2268"/>
    <cellStyle name="_Qs Ericsson 301006_Servicios MEX (2)_Hoja Resumen Con Firmas_MOntelima" xfId="2269"/>
    <cellStyle name="_Qs Ericsson 301006_Servicios MEX (2)_Hoja Resumen Con Firmas_OFE UMBE _(Ref. 20-04-11)" xfId="2270"/>
    <cellStyle name="_Qs Ericsson 301006_Servicios MEX (2)_Hoja Resumen Con Firmas_OFERTA DE GE - MONTE LOS OLIVOS - SIN TANQUES" xfId="2271"/>
    <cellStyle name="_Qs Ericsson 301006_Servicios MEX (2)_Hoja Resumen Con Firmas_RESUMEN DE HOJA DE OFERTA Y LIQUIDACION" xfId="2272"/>
    <cellStyle name="_Qs Ericsson 301006_Servicios MEX (2)_Rep Choloque 30m - II" xfId="2273"/>
    <cellStyle name="_Qs Ericsson 301006_Servicios MEX (2)_Rep Choloque 30m - II_20090928_EBC ADELA LOLI_JUDITH_VERONICA" xfId="2274"/>
    <cellStyle name="_Qs Ericsson 301006_Servicios MEX (2)_Rep Choloque 30m - II_Cob-0105 Pilcocota" xfId="2275"/>
    <cellStyle name="_Qs Ericsson 301006_Servicios MEX (2)_Rep Choloque 30m - II_Cob-0105 Pilcocota_OFE UMBE _(Ref. 20-04-11)" xfId="2276"/>
    <cellStyle name="_Qs Ericsson 301006_Servicios MEX (2)_Rep Choloque 30m - II_Cob-0105 Pilcocota_RESUMEN DE HOJA DE OFERTA Y LIQUIDACION" xfId="2277"/>
    <cellStyle name="_Qs Ericsson 301006_Servicios MEX (2)_Rep Choloque 30m - II_EBC TOCNOPE" xfId="2278"/>
    <cellStyle name="_Qs Ericsson 301006_Servicios MEX (2)_Rep Choloque 30m - II_MOntelima" xfId="2279"/>
    <cellStyle name="_Qs Ericsson 301006_Servicios MEX (2)_Rep Choloque 30m - II_OFE UMBE _(Ref. 20-04-11)" xfId="2280"/>
    <cellStyle name="_Qs Ericsson 301006_Servicios MEX (2)_Rep Choloque 30m - II_OFERTA DE GE - MONTE LOS OLIVOS - SIN TANQUES" xfId="2281"/>
    <cellStyle name="_Qs Ericsson 301006_Servicios MEX (2)_Rep Choloque 30m - II_RESUMEN DE HOJA DE OFERTA Y LIQUIDACION" xfId="2282"/>
    <cellStyle name="_Qs Infra 021006" xfId="2283"/>
    <cellStyle name="_Qs Nokia 161106 v3_INFRA_CA" xfId="2284"/>
    <cellStyle name="_Qs Nokia 291106 _cust" xfId="2285"/>
    <cellStyle name="_Qs y Ps Nokia Infra_oeb" xfId="2286"/>
    <cellStyle name="_Radio SDH oferta Ericsson - MDN 221105" xfId="2287"/>
    <cellStyle name="_Repuestos Orange_Mayo" xfId="2288"/>
    <cellStyle name="_RESERVACION ESTRUCTURAS ERICSSON 27 ENE 09 (1)" xfId="2289"/>
    <cellStyle name="_Resumen SPMS" xfId="2290"/>
    <cellStyle name="_SEGUIMIENTO1 TM 2008" xfId="2291"/>
    <cellStyle name="_SEGUIMIENTO1 TM 2008_Hoja Resumen Con Firmas" xfId="2292"/>
    <cellStyle name="_SEGUIMIENTO1 TM 2008_Hoja Resumen Con Firmas_20090928_EBC ADELA LOLI_JUDITH_VERONICA" xfId="2293"/>
    <cellStyle name="_SEGUIMIENTO1 TM 2008_Hoja Resumen Con Firmas_Cob-0105 Pilcocota" xfId="2294"/>
    <cellStyle name="_SEGUIMIENTO1 TM 2008_Hoja Resumen Con Firmas_Cob-0105 Pilcocota_OFE UMBE _(Ref. 20-04-11)" xfId="2295"/>
    <cellStyle name="_SEGUIMIENTO1 TM 2008_Hoja Resumen Con Firmas_Cob-0105 Pilcocota_RESUMEN DE HOJA DE OFERTA Y LIQUIDACION" xfId="2296"/>
    <cellStyle name="_SEGUIMIENTO1 TM 2008_Hoja Resumen Con Firmas_EBC TOCNOPE" xfId="2297"/>
    <cellStyle name="_SEGUIMIENTO1 TM 2008_Hoja Resumen Con Firmas_MOntelima" xfId="2298"/>
    <cellStyle name="_SEGUIMIENTO1 TM 2008_Hoja Resumen Con Firmas_OFE UMBE _(Ref. 20-04-11)" xfId="2299"/>
    <cellStyle name="_SEGUIMIENTO1 TM 2008_Hoja Resumen Con Firmas_OFERTA DE GE - MONTE LOS OLIVOS - SIN TANQUES" xfId="2300"/>
    <cellStyle name="_SEGUIMIENTO1 TM 2008_Hoja Resumen Con Firmas_RESUMEN DE HOJA DE OFERTA Y LIQUIDACION" xfId="2301"/>
    <cellStyle name="_SEGUIMIENTO1 TM 2008_Rep Choloque 30m - II" xfId="2302"/>
    <cellStyle name="_SEGUIMIENTO1 TM 2008_Rep Choloque 30m - II_20090928_EBC ADELA LOLI_JUDITH_VERONICA" xfId="2303"/>
    <cellStyle name="_SEGUIMIENTO1 TM 2008_Rep Choloque 30m - II_Cob-0105 Pilcocota" xfId="2304"/>
    <cellStyle name="_SEGUIMIENTO1 TM 2008_Rep Choloque 30m - II_Cob-0105 Pilcocota_OFE UMBE _(Ref. 20-04-11)" xfId="2305"/>
    <cellStyle name="_SEGUIMIENTO1 TM 2008_Rep Choloque 30m - II_Cob-0105 Pilcocota_RESUMEN DE HOJA DE OFERTA Y LIQUIDACION" xfId="2306"/>
    <cellStyle name="_SEGUIMIENTO1 TM 2008_Rep Choloque 30m - II_EBC TOCNOPE" xfId="2307"/>
    <cellStyle name="_SEGUIMIENTO1 TM 2008_Rep Choloque 30m - II_MOntelima" xfId="2308"/>
    <cellStyle name="_SEGUIMIENTO1 TM 2008_Rep Choloque 30m - II_OFE UMBE _(Ref. 20-04-11)" xfId="2309"/>
    <cellStyle name="_SEGUIMIENTO1 TM 2008_Rep Choloque 30m - II_OFERTA DE GE - MONTE LOS OLIVOS - SIN TANQUES" xfId="2310"/>
    <cellStyle name="_SEGUIMIENTO1 TM 2008_Rep Choloque 30m - II_RESUMEN DE HOJA DE OFERTA Y LIQUIDACION" xfId="2311"/>
    <cellStyle name="_Servicios Planificacion y Desmpeno UMTS TEM Venezuela" xfId="2312"/>
    <cellStyle name="_Site SA ERICSSON VENTA IGUAIN" xfId="2313"/>
    <cellStyle name="_STS 05 467_COLOMBIA MOVIL 178 BTS_revPB1" xfId="2314"/>
    <cellStyle name="_STS 05 467_COLOMBIA MOVIL 178 BTS_revPB1_Hoja Resumen Con Firmas" xfId="2315"/>
    <cellStyle name="_STS 05 467_COLOMBIA MOVIL 178 BTS_revPB1_Hoja Resumen Con Firmas_20090928_EBC ADELA LOLI_JUDITH_VERONICA" xfId="2316"/>
    <cellStyle name="_STS 05 467_COLOMBIA MOVIL 178 BTS_revPB1_Hoja Resumen Con Firmas_Cob-0105 Pilcocota" xfId="2317"/>
    <cellStyle name="_STS 05 467_COLOMBIA MOVIL 178 BTS_revPB1_Hoja Resumen Con Firmas_Cob-0105 Pilcocota_OFE UMBE _(Ref. 20-04-11)" xfId="2318"/>
    <cellStyle name="_STS 05 467_COLOMBIA MOVIL 178 BTS_revPB1_Hoja Resumen Con Firmas_Cob-0105 Pilcocota_RESUMEN DE HOJA DE OFERTA Y LIQUIDACION" xfId="2319"/>
    <cellStyle name="_STS 05 467_COLOMBIA MOVIL 178 BTS_revPB1_Hoja Resumen Con Firmas_EBC TOCNOPE" xfId="2320"/>
    <cellStyle name="_STS 05 467_COLOMBIA MOVIL 178 BTS_revPB1_Hoja Resumen Con Firmas_MOntelima" xfId="2321"/>
    <cellStyle name="_STS 05 467_COLOMBIA MOVIL 178 BTS_revPB1_Hoja Resumen Con Firmas_OFE UMBE _(Ref. 20-04-11)" xfId="2322"/>
    <cellStyle name="_STS 05 467_COLOMBIA MOVIL 178 BTS_revPB1_Hoja Resumen Con Firmas_OFERTA DE GE - MONTE LOS OLIVOS - SIN TANQUES" xfId="2323"/>
    <cellStyle name="_STS 05 467_COLOMBIA MOVIL 178 BTS_revPB1_Hoja Resumen Con Firmas_RESUMEN DE HOJA DE OFERTA Y LIQUIDACION" xfId="2324"/>
    <cellStyle name="_STS 05 467_COLOMBIA MOVIL 178 BTS_revPB1_Rep Choloque 30m - II" xfId="2325"/>
    <cellStyle name="_STS 05 467_COLOMBIA MOVIL 178 BTS_revPB1_Rep Choloque 30m - II_20090928_EBC ADELA LOLI_JUDITH_VERONICA" xfId="2326"/>
    <cellStyle name="_STS 05 467_COLOMBIA MOVIL 178 BTS_revPB1_Rep Choloque 30m - II_Cob-0105 Pilcocota" xfId="2327"/>
    <cellStyle name="_STS 05 467_COLOMBIA MOVIL 178 BTS_revPB1_Rep Choloque 30m - II_Cob-0105 Pilcocota_OFE UMBE _(Ref. 20-04-11)" xfId="2328"/>
    <cellStyle name="_STS 05 467_COLOMBIA MOVIL 178 BTS_revPB1_Rep Choloque 30m - II_Cob-0105 Pilcocota_RESUMEN DE HOJA DE OFERTA Y LIQUIDACION" xfId="2329"/>
    <cellStyle name="_STS 05 467_COLOMBIA MOVIL 178 BTS_revPB1_Rep Choloque 30m - II_EBC TOCNOPE" xfId="2330"/>
    <cellStyle name="_STS 05 467_COLOMBIA MOVIL 178 BTS_revPB1_Rep Choloque 30m - II_MOntelima" xfId="2331"/>
    <cellStyle name="_STS 05 467_COLOMBIA MOVIL 178 BTS_revPB1_Rep Choloque 30m - II_OFE UMBE _(Ref. 20-04-11)" xfId="2332"/>
    <cellStyle name="_STS 05 467_COLOMBIA MOVIL 178 BTS_revPB1_Rep Choloque 30m - II_OFERTA DE GE - MONTE LOS OLIVOS - SIN TANQUES" xfId="2333"/>
    <cellStyle name="_STS 05 467_COLOMBIA MOVIL 178 BTS_revPB1_Rep Choloque 30m - II_RESUMEN DE HOJA DE OFERTA Y LIQUIDACION" xfId="2334"/>
    <cellStyle name="_STS 05_ 089_EMCALI SS HWS" xfId="2335"/>
    <cellStyle name="_STS 05_ 089_EMCALI SS HWS_Hoja Resumen Con Firmas" xfId="2336"/>
    <cellStyle name="_STS 05_ 089_EMCALI SS HWS_Hoja Resumen Con Firmas_20090928_EBC ADELA LOLI_JUDITH_VERONICA" xfId="2337"/>
    <cellStyle name="_STS 05_ 089_EMCALI SS HWS_Hoja Resumen Con Firmas_Cob-0105 Pilcocota" xfId="2338"/>
    <cellStyle name="_STS 05_ 089_EMCALI SS HWS_Hoja Resumen Con Firmas_Cob-0105 Pilcocota_OFE UMBE _(Ref. 20-04-11)" xfId="2339"/>
    <cellStyle name="_STS 05_ 089_EMCALI SS HWS_Hoja Resumen Con Firmas_Cob-0105 Pilcocota_RESUMEN DE HOJA DE OFERTA Y LIQUIDACION" xfId="2340"/>
    <cellStyle name="_STS 05_ 089_EMCALI SS HWS_Hoja Resumen Con Firmas_EBC TOCNOPE" xfId="2341"/>
    <cellStyle name="_STS 05_ 089_EMCALI SS HWS_Hoja Resumen Con Firmas_MOntelima" xfId="2342"/>
    <cellStyle name="_STS 05_ 089_EMCALI SS HWS_Hoja Resumen Con Firmas_OFE UMBE _(Ref. 20-04-11)" xfId="2343"/>
    <cellStyle name="_STS 05_ 089_EMCALI SS HWS_Hoja Resumen Con Firmas_OFERTA DE GE - MONTE LOS OLIVOS - SIN TANQUES" xfId="2344"/>
    <cellStyle name="_STS 05_ 089_EMCALI SS HWS_Hoja Resumen Con Firmas_RESUMEN DE HOJA DE OFERTA Y LIQUIDACION" xfId="2345"/>
    <cellStyle name="_STS 05_ 089_EMCALI SS HWS_Rep Choloque 30m - II" xfId="2346"/>
    <cellStyle name="_STS 05_ 089_EMCALI SS HWS_Rep Choloque 30m - II_20090928_EBC ADELA LOLI_JUDITH_VERONICA" xfId="2347"/>
    <cellStyle name="_STS 05_ 089_EMCALI SS HWS_Rep Choloque 30m - II_Cob-0105 Pilcocota" xfId="2348"/>
    <cellStyle name="_STS 05_ 089_EMCALI SS HWS_Rep Choloque 30m - II_Cob-0105 Pilcocota_OFE UMBE _(Ref. 20-04-11)" xfId="2349"/>
    <cellStyle name="_STS 05_ 089_EMCALI SS HWS_Rep Choloque 30m - II_Cob-0105 Pilcocota_RESUMEN DE HOJA DE OFERTA Y LIQUIDACION" xfId="2350"/>
    <cellStyle name="_STS 05_ 089_EMCALI SS HWS_Rep Choloque 30m - II_EBC TOCNOPE" xfId="2351"/>
    <cellStyle name="_STS 05_ 089_EMCALI SS HWS_Rep Choloque 30m - II_MOntelima" xfId="2352"/>
    <cellStyle name="_STS 05_ 089_EMCALI SS HWS_Rep Choloque 30m - II_OFE UMBE _(Ref. 20-04-11)" xfId="2353"/>
    <cellStyle name="_STS 05_ 089_EMCALI SS HWS_Rep Choloque 30m - II_OFERTA DE GE - MONTE LOS OLIVOS - SIN TANQUES" xfId="2354"/>
    <cellStyle name="_STS 05_ 089_EMCALI SS HWS_Rep Choloque 30m - II_RESUMEN DE HOJA DE OFERTA Y LIQUIDACION" xfId="2355"/>
    <cellStyle name="_STS 06 220 ORANGE MSS SUPPORT_ESCENARIO 4MSC" xfId="2356"/>
    <cellStyle name="_STS 06 258 Costos soporte_rev B" xfId="2357"/>
    <cellStyle name="_STS 06 258 Costos soporte_rev B_Hoja Resumen Con Firmas" xfId="2358"/>
    <cellStyle name="_STS 06 258 Costos soporte_rev B_Hoja Resumen Con Firmas_20090928_EBC ADELA LOLI_JUDITH_VERONICA" xfId="2359"/>
    <cellStyle name="_STS 06 258 Costos soporte_rev B_Hoja Resumen Con Firmas_Cob-0105 Pilcocota" xfId="2360"/>
    <cellStyle name="_STS 06 258 Costos soporte_rev B_Hoja Resumen Con Firmas_Cob-0105 Pilcocota_OFE UMBE _(Ref. 20-04-11)" xfId="2361"/>
    <cellStyle name="_STS 06 258 Costos soporte_rev B_Hoja Resumen Con Firmas_Cob-0105 Pilcocota_RESUMEN DE HOJA DE OFERTA Y LIQUIDACION" xfId="2362"/>
    <cellStyle name="_STS 06 258 Costos soporte_rev B_Hoja Resumen Con Firmas_EBC TOCNOPE" xfId="2363"/>
    <cellStyle name="_STS 06 258 Costos soporte_rev B_Hoja Resumen Con Firmas_MOntelima" xfId="2364"/>
    <cellStyle name="_STS 06 258 Costos soporte_rev B_Hoja Resumen Con Firmas_OFE UMBE _(Ref. 20-04-11)" xfId="2365"/>
    <cellStyle name="_STS 06 258 Costos soporte_rev B_Hoja Resumen Con Firmas_OFERTA DE GE - MONTE LOS OLIVOS - SIN TANQUES" xfId="2366"/>
    <cellStyle name="_STS 06 258 Costos soporte_rev B_Hoja Resumen Con Firmas_RESUMEN DE HOJA DE OFERTA Y LIQUIDACION" xfId="2367"/>
    <cellStyle name="_STS 06 258 Costos soporte_rev B_Rep Choloque 30m - II" xfId="2368"/>
    <cellStyle name="_STS 06 258 Costos soporte_rev B_Rep Choloque 30m - II_20090928_EBC ADELA LOLI_JUDITH_VERONICA" xfId="2369"/>
    <cellStyle name="_STS 06 258 Costos soporte_rev B_Rep Choloque 30m - II_Cob-0105 Pilcocota" xfId="2370"/>
    <cellStyle name="_STS 06 258 Costos soporte_rev B_Rep Choloque 30m - II_Cob-0105 Pilcocota_OFE UMBE _(Ref. 20-04-11)" xfId="2371"/>
    <cellStyle name="_STS 06 258 Costos soporte_rev B_Rep Choloque 30m - II_Cob-0105 Pilcocota_RESUMEN DE HOJA DE OFERTA Y LIQUIDACION" xfId="2372"/>
    <cellStyle name="_STS 06 258 Costos soporte_rev B_Rep Choloque 30m - II_EBC TOCNOPE" xfId="2373"/>
    <cellStyle name="_STS 06 258 Costos soporte_rev B_Rep Choloque 30m - II_MOntelima" xfId="2374"/>
    <cellStyle name="_STS 06 258 Costos soporte_rev B_Rep Choloque 30m - II_OFE UMBE _(Ref. 20-04-11)" xfId="2375"/>
    <cellStyle name="_STS 06 258 Costos soporte_rev B_Rep Choloque 30m - II_OFERTA DE GE - MONTE LOS OLIVOS - SIN TANQUES" xfId="2376"/>
    <cellStyle name="_STS 06 258 Costos soporte_rev B_Rep Choloque 30m - II_RESUMEN DE HOJA DE OFERTA Y LIQUIDACION" xfId="2377"/>
    <cellStyle name="_STS 06 347_HWS Estandar Fija Migración" xfId="2378"/>
    <cellStyle name="_STS 06 347_Soporte Fija Overlay_rev PA2" xfId="2379"/>
    <cellStyle name="_STS 426_MILLICOM" xfId="2380"/>
    <cellStyle name="_STS_05_276 CW_ PanamaCaribbean_GSM Layer Architecture Solution Cost Price (220705)B" xfId="2381"/>
    <cellStyle name="_STS_05_276 CW_ PanamaCaribbean_GSM Layer Architecture Solution Cost Price (220705)B_Hoja Resumen Con Firmas" xfId="2382"/>
    <cellStyle name="_STS_05_276 CW_ PanamaCaribbean_GSM Layer Architecture Solution Cost Price (220705)B_Hoja Resumen Con Firmas_20090928_EBC ADELA LOLI_JUDITH_VERONICA" xfId="2383"/>
    <cellStyle name="_STS_05_276 CW_ PanamaCaribbean_GSM Layer Architecture Solution Cost Price (220705)B_Hoja Resumen Con Firmas_Cob-0105 Pilcocota" xfId="2384"/>
    <cellStyle name="_STS_05_276 CW_ PanamaCaribbean_GSM Layer Architecture Solution Cost Price (220705)B_Hoja Resumen Con Firmas_Cob-0105 Pilcocota_OFE UMBE _(Ref. 20-04-11)" xfId="2385"/>
    <cellStyle name="_STS_05_276 CW_ PanamaCaribbean_GSM Layer Architecture Solution Cost Price (220705)B_Hoja Resumen Con Firmas_Cob-0105 Pilcocota_RESUMEN DE HOJA DE OFERTA Y LIQUIDACION" xfId="2386"/>
    <cellStyle name="_STS_05_276 CW_ PanamaCaribbean_GSM Layer Architecture Solution Cost Price (220705)B_Hoja Resumen Con Firmas_EBC TOCNOPE" xfId="2387"/>
    <cellStyle name="_STS_05_276 CW_ PanamaCaribbean_GSM Layer Architecture Solution Cost Price (220705)B_Hoja Resumen Con Firmas_MOntelima" xfId="2388"/>
    <cellStyle name="_STS_05_276 CW_ PanamaCaribbean_GSM Layer Architecture Solution Cost Price (220705)B_Hoja Resumen Con Firmas_OFE UMBE _(Ref. 20-04-11)" xfId="2389"/>
    <cellStyle name="_STS_05_276 CW_ PanamaCaribbean_GSM Layer Architecture Solution Cost Price (220705)B_Hoja Resumen Con Firmas_OFERTA DE GE - MONTE LOS OLIVOS - SIN TANQUES" xfId="2390"/>
    <cellStyle name="_STS_05_276 CW_ PanamaCaribbean_GSM Layer Architecture Solution Cost Price (220705)B_Hoja Resumen Con Firmas_RESUMEN DE HOJA DE OFERTA Y LIQUIDACION" xfId="2391"/>
    <cellStyle name="_STS_05_276 CW_ PanamaCaribbean_GSM Layer Architecture Solution Cost Price (220705)B_Rep Choloque 30m - II" xfId="2392"/>
    <cellStyle name="_STS_05_276 CW_ PanamaCaribbean_GSM Layer Architecture Solution Cost Price (220705)B_Rep Choloque 30m - II_20090928_EBC ADELA LOLI_JUDITH_VERONICA" xfId="2393"/>
    <cellStyle name="_STS_05_276 CW_ PanamaCaribbean_GSM Layer Architecture Solution Cost Price (220705)B_Rep Choloque 30m - II_Cob-0105 Pilcocota" xfId="2394"/>
    <cellStyle name="_STS_05_276 CW_ PanamaCaribbean_GSM Layer Architecture Solution Cost Price (220705)B_Rep Choloque 30m - II_Cob-0105 Pilcocota_OFE UMBE _(Ref. 20-04-11)" xfId="2395"/>
    <cellStyle name="_STS_05_276 CW_ PanamaCaribbean_GSM Layer Architecture Solution Cost Price (220705)B_Rep Choloque 30m - II_Cob-0105 Pilcocota_RESUMEN DE HOJA DE OFERTA Y LIQUIDACION" xfId="2396"/>
    <cellStyle name="_STS_05_276 CW_ PanamaCaribbean_GSM Layer Architecture Solution Cost Price (220705)B_Rep Choloque 30m - II_EBC TOCNOPE" xfId="2397"/>
    <cellStyle name="_STS_05_276 CW_ PanamaCaribbean_GSM Layer Architecture Solution Cost Price (220705)B_Rep Choloque 30m - II_MOntelima" xfId="2398"/>
    <cellStyle name="_STS_05_276 CW_ PanamaCaribbean_GSM Layer Architecture Solution Cost Price (220705)B_Rep Choloque 30m - II_OFE UMBE _(Ref. 20-04-11)" xfId="2399"/>
    <cellStyle name="_STS_05_276 CW_ PanamaCaribbean_GSM Layer Architecture Solution Cost Price (220705)B_Rep Choloque 30m - II_OFERTA DE GE - MONTE LOS OLIVOS - SIN TANQUES" xfId="2400"/>
    <cellStyle name="_STS_05_276 CW_ PanamaCaribbean_GSM Layer Architecture Solution Cost Price (220705)B_Rep Choloque 30m - II_RESUMEN DE HOJA DE OFERTA Y LIQUIDACION" xfId="2401"/>
    <cellStyle name="_STS_05_474_TELECSA_ Ecuador_rev PC (4)" xfId="2402"/>
    <cellStyle name="_STS_05_474_TELECSA_ Ecuador_rev PC (4)_Hoja Resumen Con Firmas" xfId="2403"/>
    <cellStyle name="_STS_05_474_TELECSA_ Ecuador_rev PC (4)_Hoja Resumen Con Firmas_20090928_EBC ADELA LOLI_JUDITH_VERONICA" xfId="2404"/>
    <cellStyle name="_STS_05_474_TELECSA_ Ecuador_rev PC (4)_Hoja Resumen Con Firmas_Cob-0105 Pilcocota" xfId="2405"/>
    <cellStyle name="_STS_05_474_TELECSA_ Ecuador_rev PC (4)_Hoja Resumen Con Firmas_Cob-0105 Pilcocota_OFE UMBE _(Ref. 20-04-11)" xfId="2406"/>
    <cellStyle name="_STS_05_474_TELECSA_ Ecuador_rev PC (4)_Hoja Resumen Con Firmas_Cob-0105 Pilcocota_RESUMEN DE HOJA DE OFERTA Y LIQUIDACION" xfId="2407"/>
    <cellStyle name="_STS_05_474_TELECSA_ Ecuador_rev PC (4)_Hoja Resumen Con Firmas_EBC TOCNOPE" xfId="2408"/>
    <cellStyle name="_STS_05_474_TELECSA_ Ecuador_rev PC (4)_Hoja Resumen Con Firmas_MOntelima" xfId="2409"/>
    <cellStyle name="_STS_05_474_TELECSA_ Ecuador_rev PC (4)_Hoja Resumen Con Firmas_OFE UMBE _(Ref. 20-04-11)" xfId="2410"/>
    <cellStyle name="_STS_05_474_TELECSA_ Ecuador_rev PC (4)_Hoja Resumen Con Firmas_OFERTA DE GE - MONTE LOS OLIVOS - SIN TANQUES" xfId="2411"/>
    <cellStyle name="_STS_05_474_TELECSA_ Ecuador_rev PC (4)_Hoja Resumen Con Firmas_RESUMEN DE HOJA DE OFERTA Y LIQUIDACION" xfId="2412"/>
    <cellStyle name="_STS_05_474_TELECSA_ Ecuador_rev PC (4)_Rep Choloque 30m - II" xfId="2413"/>
    <cellStyle name="_STS_05_474_TELECSA_ Ecuador_rev PC (4)_Rep Choloque 30m - II_20090928_EBC ADELA LOLI_JUDITH_VERONICA" xfId="2414"/>
    <cellStyle name="_STS_05_474_TELECSA_ Ecuador_rev PC (4)_Rep Choloque 30m - II_Cob-0105 Pilcocota" xfId="2415"/>
    <cellStyle name="_STS_05_474_TELECSA_ Ecuador_rev PC (4)_Rep Choloque 30m - II_Cob-0105 Pilcocota_OFE UMBE _(Ref. 20-04-11)" xfId="2416"/>
    <cellStyle name="_STS_05_474_TELECSA_ Ecuador_rev PC (4)_Rep Choloque 30m - II_Cob-0105 Pilcocota_RESUMEN DE HOJA DE OFERTA Y LIQUIDACION" xfId="2417"/>
    <cellStyle name="_STS_05_474_TELECSA_ Ecuador_rev PC (4)_Rep Choloque 30m - II_EBC TOCNOPE" xfId="2418"/>
    <cellStyle name="_STS_05_474_TELECSA_ Ecuador_rev PC (4)_Rep Choloque 30m - II_MOntelima" xfId="2419"/>
    <cellStyle name="_STS_05_474_TELECSA_ Ecuador_rev PC (4)_Rep Choloque 30m - II_OFE UMBE _(Ref. 20-04-11)" xfId="2420"/>
    <cellStyle name="_STS_05_474_TELECSA_ Ecuador_rev PC (4)_Rep Choloque 30m - II_OFERTA DE GE - MONTE LOS OLIVOS - SIN TANQUES" xfId="2421"/>
    <cellStyle name="_STS_05_474_TELECSA_ Ecuador_rev PC (4)_Rep Choloque 30m - II_RESUMEN DE HOJA DE OFERTA Y LIQUIDACION" xfId="2422"/>
    <cellStyle name="_STS_06_104 TELEFONICA MOVILES_Venezuela_IMS Cost Calculation RevA" xfId="2423"/>
    <cellStyle name="_STS_06_116 TELECSA Ecuador RFQ GSM Telecsa Rev A" xfId="2424"/>
    <cellStyle name="_STS_06_116 TELECSA Ecuador RFQ GSM Telecsa Rev A_Hoja Resumen Con Firmas" xfId="2425"/>
    <cellStyle name="_STS_06_116 TELECSA Ecuador RFQ GSM Telecsa Rev A_Hoja Resumen Con Firmas_20090928_EBC ADELA LOLI_JUDITH_VERONICA" xfId="2426"/>
    <cellStyle name="_STS_06_116 TELECSA Ecuador RFQ GSM Telecsa Rev A_Hoja Resumen Con Firmas_Cob-0105 Pilcocota" xfId="2427"/>
    <cellStyle name="_STS_06_116 TELECSA Ecuador RFQ GSM Telecsa Rev A_Hoja Resumen Con Firmas_Cob-0105 Pilcocota_OFE UMBE _(Ref. 20-04-11)" xfId="2428"/>
    <cellStyle name="_STS_06_116 TELECSA Ecuador RFQ GSM Telecsa Rev A_Hoja Resumen Con Firmas_Cob-0105 Pilcocota_RESUMEN DE HOJA DE OFERTA Y LIQUIDACION" xfId="2429"/>
    <cellStyle name="_STS_06_116 TELECSA Ecuador RFQ GSM Telecsa Rev A_Hoja Resumen Con Firmas_EBC TOCNOPE" xfId="2430"/>
    <cellStyle name="_STS_06_116 TELECSA Ecuador RFQ GSM Telecsa Rev A_Hoja Resumen Con Firmas_MOntelima" xfId="2431"/>
    <cellStyle name="_STS_06_116 TELECSA Ecuador RFQ GSM Telecsa Rev A_Hoja Resumen Con Firmas_OFE UMBE _(Ref. 20-04-11)" xfId="2432"/>
    <cellStyle name="_STS_06_116 TELECSA Ecuador RFQ GSM Telecsa Rev A_Hoja Resumen Con Firmas_OFERTA DE GE - MONTE LOS OLIVOS - SIN TANQUES" xfId="2433"/>
    <cellStyle name="_STS_06_116 TELECSA Ecuador RFQ GSM Telecsa Rev A_Hoja Resumen Con Firmas_RESUMEN DE HOJA DE OFERTA Y LIQUIDACION" xfId="2434"/>
    <cellStyle name="_STS_06_116 TELECSA Ecuador RFQ GSM Telecsa Rev A_Rep Choloque 30m - II" xfId="2435"/>
    <cellStyle name="_STS_06_116 TELECSA Ecuador RFQ GSM Telecsa Rev A_Rep Choloque 30m - II_20090928_EBC ADELA LOLI_JUDITH_VERONICA" xfId="2436"/>
    <cellStyle name="_STS_06_116 TELECSA Ecuador RFQ GSM Telecsa Rev A_Rep Choloque 30m - II_Cob-0105 Pilcocota" xfId="2437"/>
    <cellStyle name="_STS_06_116 TELECSA Ecuador RFQ GSM Telecsa Rev A_Rep Choloque 30m - II_Cob-0105 Pilcocota_OFE UMBE _(Ref. 20-04-11)" xfId="2438"/>
    <cellStyle name="_STS_06_116 TELECSA Ecuador RFQ GSM Telecsa Rev A_Rep Choloque 30m - II_Cob-0105 Pilcocota_RESUMEN DE HOJA DE OFERTA Y LIQUIDACION" xfId="2439"/>
    <cellStyle name="_STS_06_116 TELECSA Ecuador RFQ GSM Telecsa Rev A_Rep Choloque 30m - II_EBC TOCNOPE" xfId="2440"/>
    <cellStyle name="_STS_06_116 TELECSA Ecuador RFQ GSM Telecsa Rev A_Rep Choloque 30m - II_MOntelima" xfId="2441"/>
    <cellStyle name="_STS_06_116 TELECSA Ecuador RFQ GSM Telecsa Rev A_Rep Choloque 30m - II_OFE UMBE _(Ref. 20-04-11)" xfId="2442"/>
    <cellStyle name="_STS_06_116 TELECSA Ecuador RFQ GSM Telecsa Rev A_Rep Choloque 30m - II_OFERTA DE GE - MONTE LOS OLIVOS - SIN TANQUES" xfId="2443"/>
    <cellStyle name="_STS_06_116 TELECSA Ecuador RFQ GSM Telecsa Rev A_Rep Choloque 30m - II_RESUMEN DE HOJA DE OFERTA Y LIQUIDACION" xfId="2444"/>
    <cellStyle name="_STS_06_166_RFQ_Presupuestal_ICE_Costa_Rica Rev  A" xfId="2445"/>
    <cellStyle name="_STS_06_166_RFQ_Presupuestal_ICE_Costa_Rica Rev  A_Hoja Resumen Con Firmas" xfId="2446"/>
    <cellStyle name="_STS_06_166_RFQ_Presupuestal_ICE_Costa_Rica Rev  A_Hoja Resumen Con Firmas_20090928_EBC ADELA LOLI_JUDITH_VERONICA" xfId="2447"/>
    <cellStyle name="_STS_06_166_RFQ_Presupuestal_ICE_Costa_Rica Rev  A_Hoja Resumen Con Firmas_Cob-0105 Pilcocota" xfId="2448"/>
    <cellStyle name="_STS_06_166_RFQ_Presupuestal_ICE_Costa_Rica Rev  A_Hoja Resumen Con Firmas_Cob-0105 Pilcocota_OFE UMBE _(Ref. 20-04-11)" xfId="2449"/>
    <cellStyle name="_STS_06_166_RFQ_Presupuestal_ICE_Costa_Rica Rev  A_Hoja Resumen Con Firmas_Cob-0105 Pilcocota_RESUMEN DE HOJA DE OFERTA Y LIQUIDACION" xfId="2450"/>
    <cellStyle name="_STS_06_166_RFQ_Presupuestal_ICE_Costa_Rica Rev  A_Hoja Resumen Con Firmas_EBC TOCNOPE" xfId="2451"/>
    <cellStyle name="_STS_06_166_RFQ_Presupuestal_ICE_Costa_Rica Rev  A_Hoja Resumen Con Firmas_MOntelima" xfId="2452"/>
    <cellStyle name="_STS_06_166_RFQ_Presupuestal_ICE_Costa_Rica Rev  A_Hoja Resumen Con Firmas_OFE UMBE _(Ref. 20-04-11)" xfId="2453"/>
    <cellStyle name="_STS_06_166_RFQ_Presupuestal_ICE_Costa_Rica Rev  A_Hoja Resumen Con Firmas_OFERTA DE GE - MONTE LOS OLIVOS - SIN TANQUES" xfId="2454"/>
    <cellStyle name="_STS_06_166_RFQ_Presupuestal_ICE_Costa_Rica Rev  A_Hoja Resumen Con Firmas_RESUMEN DE HOJA DE OFERTA Y LIQUIDACION" xfId="2455"/>
    <cellStyle name="_STS_06_166_RFQ_Presupuestal_ICE_Costa_Rica Rev  A_Rep Choloque 30m - II" xfId="2456"/>
    <cellStyle name="_STS_06_166_RFQ_Presupuestal_ICE_Costa_Rica Rev  A_Rep Choloque 30m - II_20090928_EBC ADELA LOLI_JUDITH_VERONICA" xfId="2457"/>
    <cellStyle name="_STS_06_166_RFQ_Presupuestal_ICE_Costa_Rica Rev  A_Rep Choloque 30m - II_Cob-0105 Pilcocota" xfId="2458"/>
    <cellStyle name="_STS_06_166_RFQ_Presupuestal_ICE_Costa_Rica Rev  A_Rep Choloque 30m - II_Cob-0105 Pilcocota_OFE UMBE _(Ref. 20-04-11)" xfId="2459"/>
    <cellStyle name="_STS_06_166_RFQ_Presupuestal_ICE_Costa_Rica Rev  A_Rep Choloque 30m - II_Cob-0105 Pilcocota_RESUMEN DE HOJA DE OFERTA Y LIQUIDACION" xfId="2460"/>
    <cellStyle name="_STS_06_166_RFQ_Presupuestal_ICE_Costa_Rica Rev  A_Rep Choloque 30m - II_EBC TOCNOPE" xfId="2461"/>
    <cellStyle name="_STS_06_166_RFQ_Presupuestal_ICE_Costa_Rica Rev  A_Rep Choloque 30m - II_MOntelima" xfId="2462"/>
    <cellStyle name="_STS_06_166_RFQ_Presupuestal_ICE_Costa_Rica Rev  A_Rep Choloque 30m - II_OFE UMBE _(Ref. 20-04-11)" xfId="2463"/>
    <cellStyle name="_STS_06_166_RFQ_Presupuestal_ICE_Costa_Rica Rev  A_Rep Choloque 30m - II_OFERTA DE GE - MONTE LOS OLIVOS - SIN TANQUES" xfId="2464"/>
    <cellStyle name="_STS_06_166_RFQ_Presupuestal_ICE_Costa_Rica Rev  A_Rep Choloque 30m - II_RESUMEN DE HOJA DE OFERTA Y LIQUIDACION" xfId="2465"/>
    <cellStyle name="_STS_06_195 Caribbean ORANGE MSS 4 Migration-Multicountry Rev C" xfId="2466"/>
    <cellStyle name="_STS_06_195 Caribbean ORANGE MSS 4 Migration-Multicountry Rev C_Hoja Resumen Con Firmas" xfId="2467"/>
    <cellStyle name="_STS_06_195 Caribbean ORANGE MSS 4 Migration-Multicountry Rev C_Hoja Resumen Con Firmas_20090928_EBC ADELA LOLI_JUDITH_VERONICA" xfId="2468"/>
    <cellStyle name="_STS_06_195 Caribbean ORANGE MSS 4 Migration-Multicountry Rev C_Hoja Resumen Con Firmas_Cob-0105 Pilcocota" xfId="2469"/>
    <cellStyle name="_STS_06_195 Caribbean ORANGE MSS 4 Migration-Multicountry Rev C_Hoja Resumen Con Firmas_Cob-0105 Pilcocota_OFE UMBE _(Ref. 20-04-11)" xfId="2470"/>
    <cellStyle name="_STS_06_195 Caribbean ORANGE MSS 4 Migration-Multicountry Rev C_Hoja Resumen Con Firmas_Cob-0105 Pilcocota_RESUMEN DE HOJA DE OFERTA Y LIQUIDACION" xfId="2471"/>
    <cellStyle name="_STS_06_195 Caribbean ORANGE MSS 4 Migration-Multicountry Rev C_Hoja Resumen Con Firmas_EBC TOCNOPE" xfId="2472"/>
    <cellStyle name="_STS_06_195 Caribbean ORANGE MSS 4 Migration-Multicountry Rev C_Hoja Resumen Con Firmas_MOntelima" xfId="2473"/>
    <cellStyle name="_STS_06_195 Caribbean ORANGE MSS 4 Migration-Multicountry Rev C_Hoja Resumen Con Firmas_OFE UMBE _(Ref. 20-04-11)" xfId="2474"/>
    <cellStyle name="_STS_06_195 Caribbean ORANGE MSS 4 Migration-Multicountry Rev C_Hoja Resumen Con Firmas_OFERTA DE GE - MONTE LOS OLIVOS - SIN TANQUES" xfId="2475"/>
    <cellStyle name="_STS_06_195 Caribbean ORANGE MSS 4 Migration-Multicountry Rev C_Hoja Resumen Con Firmas_RESUMEN DE HOJA DE OFERTA Y LIQUIDACION" xfId="2476"/>
    <cellStyle name="_STS_06_195 Caribbean ORANGE MSS 4 Migration-Multicountry Rev C_Rep Choloque 30m - II" xfId="2477"/>
    <cellStyle name="_STS_06_195 Caribbean ORANGE MSS 4 Migration-Multicountry Rev C_Rep Choloque 30m - II_20090928_EBC ADELA LOLI_JUDITH_VERONICA" xfId="2478"/>
    <cellStyle name="_STS_06_195 Caribbean ORANGE MSS 4 Migration-Multicountry Rev C_Rep Choloque 30m - II_Cob-0105 Pilcocota" xfId="2479"/>
    <cellStyle name="_STS_06_195 Caribbean ORANGE MSS 4 Migration-Multicountry Rev C_Rep Choloque 30m - II_Cob-0105 Pilcocota_OFE UMBE _(Ref. 20-04-11)" xfId="2480"/>
    <cellStyle name="_STS_06_195 Caribbean ORANGE MSS 4 Migration-Multicountry Rev C_Rep Choloque 30m - II_Cob-0105 Pilcocota_RESUMEN DE HOJA DE OFERTA Y LIQUIDACION" xfId="2481"/>
    <cellStyle name="_STS_06_195 Caribbean ORANGE MSS 4 Migration-Multicountry Rev C_Rep Choloque 30m - II_EBC TOCNOPE" xfId="2482"/>
    <cellStyle name="_STS_06_195 Caribbean ORANGE MSS 4 Migration-Multicountry Rev C_Rep Choloque 30m - II_MOntelima" xfId="2483"/>
    <cellStyle name="_STS_06_195 Caribbean ORANGE MSS 4 Migration-Multicountry Rev C_Rep Choloque 30m - II_OFE UMBE _(Ref. 20-04-11)" xfId="2484"/>
    <cellStyle name="_STS_06_195 Caribbean ORANGE MSS 4 Migration-Multicountry Rev C_Rep Choloque 30m - II_OFERTA DE GE - MONTE LOS OLIVOS - SIN TANQUES" xfId="2485"/>
    <cellStyle name="_STS_06_195 Caribbean ORANGE MSS 4 Migration-Multicountry Rev C_Rep Choloque 30m - II_RESUMEN DE HOJA DE OFERTA Y LIQUIDACION" xfId="2486"/>
    <cellStyle name="_STS_06_347_RFQ R4 TEM CA MULTI-COUNTRY Rev J (3)" xfId="2487"/>
    <cellStyle name="_STS_06_347_RFQ R4 TEM CA MULTI-COUNTRY Rev J (3)_Hoja Resumen Con Firmas" xfId="2488"/>
    <cellStyle name="_STS_06_347_RFQ R4 TEM CA MULTI-COUNTRY Rev J (3)_Hoja Resumen Con Firmas_20090928_EBC ADELA LOLI_JUDITH_VERONICA" xfId="2489"/>
    <cellStyle name="_STS_06_347_RFQ R4 TEM CA MULTI-COUNTRY Rev J (3)_Hoja Resumen Con Firmas_Cob-0105 Pilcocota" xfId="2490"/>
    <cellStyle name="_STS_06_347_RFQ R4 TEM CA MULTI-COUNTRY Rev J (3)_Hoja Resumen Con Firmas_Cob-0105 Pilcocota_OFE UMBE _(Ref. 20-04-11)" xfId="2491"/>
    <cellStyle name="_STS_06_347_RFQ R4 TEM CA MULTI-COUNTRY Rev J (3)_Hoja Resumen Con Firmas_Cob-0105 Pilcocota_RESUMEN DE HOJA DE OFERTA Y LIQUIDACION" xfId="2492"/>
    <cellStyle name="_STS_06_347_RFQ R4 TEM CA MULTI-COUNTRY Rev J (3)_Hoja Resumen Con Firmas_EBC TOCNOPE" xfId="2493"/>
    <cellStyle name="_STS_06_347_RFQ R4 TEM CA MULTI-COUNTRY Rev J (3)_Hoja Resumen Con Firmas_MOntelima" xfId="2494"/>
    <cellStyle name="_STS_06_347_RFQ R4 TEM CA MULTI-COUNTRY Rev J (3)_Hoja Resumen Con Firmas_OFE UMBE _(Ref. 20-04-11)" xfId="2495"/>
    <cellStyle name="_STS_06_347_RFQ R4 TEM CA MULTI-COUNTRY Rev J (3)_Hoja Resumen Con Firmas_OFERTA DE GE - MONTE LOS OLIVOS - SIN TANQUES" xfId="2496"/>
    <cellStyle name="_STS_06_347_RFQ R4 TEM CA MULTI-COUNTRY Rev J (3)_Hoja Resumen Con Firmas_RESUMEN DE HOJA DE OFERTA Y LIQUIDACION" xfId="2497"/>
    <cellStyle name="_STS_06_347_RFQ R4 TEM CA MULTI-COUNTRY Rev J (3)_Rep Choloque 30m - II" xfId="2498"/>
    <cellStyle name="_STS_06_347_RFQ R4 TEM CA MULTI-COUNTRY Rev J (3)_Rep Choloque 30m - II_20090928_EBC ADELA LOLI_JUDITH_VERONICA" xfId="2499"/>
    <cellStyle name="_STS_06_347_RFQ R4 TEM CA MULTI-COUNTRY Rev J (3)_Rep Choloque 30m - II_Cob-0105 Pilcocota" xfId="2500"/>
    <cellStyle name="_STS_06_347_RFQ R4 TEM CA MULTI-COUNTRY Rev J (3)_Rep Choloque 30m - II_Cob-0105 Pilcocota_OFE UMBE _(Ref. 20-04-11)" xfId="2501"/>
    <cellStyle name="_STS_06_347_RFQ R4 TEM CA MULTI-COUNTRY Rev J (3)_Rep Choloque 30m - II_Cob-0105 Pilcocota_RESUMEN DE HOJA DE OFERTA Y LIQUIDACION" xfId="2502"/>
    <cellStyle name="_STS_06_347_RFQ R4 TEM CA MULTI-COUNTRY Rev J (3)_Rep Choloque 30m - II_EBC TOCNOPE" xfId="2503"/>
    <cellStyle name="_STS_06_347_RFQ R4 TEM CA MULTI-COUNTRY Rev J (3)_Rep Choloque 30m - II_MOntelima" xfId="2504"/>
    <cellStyle name="_STS_06_347_RFQ R4 TEM CA MULTI-COUNTRY Rev J (3)_Rep Choloque 30m - II_OFE UMBE _(Ref. 20-04-11)" xfId="2505"/>
    <cellStyle name="_STS_06_347_RFQ R4 TEM CA MULTI-COUNTRY Rev J (3)_Rep Choloque 30m - II_OFERTA DE GE - MONTE LOS OLIVOS - SIN TANQUES" xfId="2506"/>
    <cellStyle name="_STS_06_347_RFQ R4 TEM CA MULTI-COUNTRY Rev J (3)_Rep Choloque 30m - II_RESUMEN DE HOJA DE OFERTA Y LIQUIDACION" xfId="2507"/>
    <cellStyle name="_Tabla de Factores de Distancia y Transporte - Completa" xfId="2508"/>
    <cellStyle name="_Telecom DWDM _Soporte y Garantías_3er round" xfId="2509"/>
    <cellStyle name="_Telefonica MN-OSS services PA1" xfId="2510"/>
    <cellStyle name="_TELEFONICA_UMTS_Rev  PA1 2009" xfId="2511"/>
    <cellStyle name="_TEM ECU Fraud Solution" xfId="2512"/>
    <cellStyle name="_Tenderproforma AVANTEL RFP DRS EC 7Ghz Marzo 17 - 06" xfId="2513"/>
    <cellStyle name="_TL1011-TL08611" xfId="2514"/>
    <cellStyle name="_TL1011-TL08611_ejemplo" xfId="2515"/>
    <cellStyle name="_TL1011-TL08611_Hoja Resumen Con Firmas" xfId="2516"/>
    <cellStyle name="_TL1011-TL08611_Rep Choloque 30m - II" xfId="2517"/>
    <cellStyle name="_TL1011-TL08611_RI_MO163581_MO163570_VB" xfId="2518"/>
    <cellStyle name="_TL1011-TL08611_RI_MO163581_MO163570_VB_ejemplo" xfId="2519"/>
    <cellStyle name="_TL1011-TL08611_RI_MO163581_MO163570_VB_Hoja Resumen Con Firmas" xfId="2520"/>
    <cellStyle name="_TL1011-TL08611_RI_MO163581_MO163570_VB_Rep Choloque 30m - II" xfId="2521"/>
    <cellStyle name="_Torre 30 m- evaluado 120-2-p" xfId="2522"/>
    <cellStyle name="_TRANSPORTE(1)ericsson" xfId="2523"/>
    <cellStyle name="_TRANSPORTES" xfId="2524"/>
    <cellStyle name="_UMO-Plantilla Cotización Obra Asociada MEXICO-2 (2) (9)" xfId="2525"/>
    <cellStyle name="_Verdi Template_TEM Multi_MVV_RevPA1" xfId="2526"/>
    <cellStyle name="_Volumen_TEMM_2007_Ericsson 011106" xfId="2527"/>
    <cellStyle name="_Worksheet in Acuerdo Final NOKIA - 11042007" xfId="2528"/>
    <cellStyle name="_Worksheet in C: Documents and Settings caguiler Desktop Acuerdo Final NOKIA - 11042007" xfId="2529"/>
    <cellStyle name="_x0004_¥" xfId="2530"/>
    <cellStyle name="=C:\WINDOWS\SYSTEM32\COMMAND.COM" xfId="2531"/>
    <cellStyle name="=C:\WINNT35\SYSTEM32\COMMAND.COM" xfId="2532"/>
    <cellStyle name="•W_laroux" xfId="2533"/>
    <cellStyle name="0,0_x000d__x000a_NA_x000d__x000a_" xfId="2534"/>
    <cellStyle name="000 PN" xfId="2535"/>
    <cellStyle name="000/0000 &quot;&quot;&quot;" xfId="2536"/>
    <cellStyle name="0000" xfId="2537"/>
    <cellStyle name="000000" xfId="2538"/>
    <cellStyle name="0Caption_Bot" xfId="2539"/>
    <cellStyle name="0Info" xfId="2540"/>
    <cellStyle name="0Title" xfId="2541"/>
    <cellStyle name="0UserFill" xfId="2542"/>
    <cellStyle name="1" xfId="2543"/>
    <cellStyle name="20% - Accent1" xfId="2544"/>
    <cellStyle name="20% - Accent2" xfId="2545"/>
    <cellStyle name="20% - Accent3" xfId="2546"/>
    <cellStyle name="20% - Accent4" xfId="2547"/>
    <cellStyle name="20% - Accent5" xfId="2548"/>
    <cellStyle name="20% - Accent6" xfId="2549"/>
    <cellStyle name="40% - Accent1" xfId="2550"/>
    <cellStyle name="40% - Accent2" xfId="2551"/>
    <cellStyle name="40% - Accent3" xfId="2552"/>
    <cellStyle name="40% - Accent4" xfId="2553"/>
    <cellStyle name="40% - Accent5" xfId="2554"/>
    <cellStyle name="40% - Accent6" xfId="2555"/>
    <cellStyle name="571" xfId="2556"/>
    <cellStyle name="60% - Accent1" xfId="2557"/>
    <cellStyle name="60% - Accent2" xfId="2558"/>
    <cellStyle name="60% - Accent3" xfId="2559"/>
    <cellStyle name="60% - Accent4" xfId="2560"/>
    <cellStyle name="60% - Accent5" xfId="2561"/>
    <cellStyle name="60% - Accent6" xfId="2562"/>
    <cellStyle name="600 PN" xfId="2563"/>
    <cellStyle name="700 PN" xfId="2564"/>
    <cellStyle name="A3 297 x 420 mm" xfId="2565"/>
    <cellStyle name="Accent1" xfId="2566"/>
    <cellStyle name="Accent2" xfId="2567"/>
    <cellStyle name="Accent3" xfId="2568"/>
    <cellStyle name="Accent4" xfId="2569"/>
    <cellStyle name="Accent5" xfId="2570"/>
    <cellStyle name="Accent6" xfId="2571"/>
    <cellStyle name="Actual Date" xfId="2572"/>
    <cellStyle name="ÅëÈ­ [0]_laroux" xfId="2573"/>
    <cellStyle name="ÅëÈ­_laroux" xfId="2574"/>
    <cellStyle name="Año" xfId="2575"/>
    <cellStyle name="args.style" xfId="2576"/>
    <cellStyle name="AssumptionHeader" xfId="2577"/>
    <cellStyle name="ÄÞ¸¶ [0]_laroux" xfId="2578"/>
    <cellStyle name="ÄÞ¸¶_laroux" xfId="2579"/>
    <cellStyle name="axlcolour" xfId="2580"/>
    <cellStyle name="Bad" xfId="2581"/>
    <cellStyle name="blank" xfId="2582"/>
    <cellStyle name="Blue Heading" xfId="2583"/>
    <cellStyle name="Board Level" xfId="2584"/>
    <cellStyle name="Body" xfId="2585"/>
    <cellStyle name="bold - Style2" xfId="2586"/>
    <cellStyle name="Ç¥ÁØ_ÀÎÀç°³¹ß¿ø" xfId="2587"/>
    <cellStyle name="Cabecera 1" xfId="2588"/>
    <cellStyle name="Cabecera 2" xfId="2589"/>
    <cellStyle name="Calc Currency (0)" xfId="2590"/>
    <cellStyle name="Calc Currency (0) 2" xfId="2591"/>
    <cellStyle name="Calc Currency (2)" xfId="2592"/>
    <cellStyle name="Calc Percent (0)" xfId="2593"/>
    <cellStyle name="Calc Percent (1)" xfId="2594"/>
    <cellStyle name="Calc Percent (2)" xfId="2595"/>
    <cellStyle name="Calc Units (0)" xfId="2596"/>
    <cellStyle name="Calc Units (1)" xfId="2597"/>
    <cellStyle name="Calc Units (2)" xfId="2598"/>
    <cellStyle name="Calculation" xfId="2599"/>
    <cellStyle name="Cancel" xfId="2600"/>
    <cellStyle name="Cancel 2" xfId="2601"/>
    <cellStyle name="Cancel 2 2" xfId="2602"/>
    <cellStyle name="Cancel 2 3" xfId="2603"/>
    <cellStyle name="Cancel 3" xfId="2604"/>
    <cellStyle name="Cancel_PRESUP. CASETA GUARDIAN MODELO" xfId="2"/>
    <cellStyle name="category" xfId="2605"/>
    <cellStyle name="Changeable" xfId="2606"/>
    <cellStyle name="Check Cell" xfId="2607"/>
    <cellStyle name="Comma" xfId="3"/>
    <cellStyle name="Comma  - Style1" xfId="2608"/>
    <cellStyle name="Comma  - Style2" xfId="2609"/>
    <cellStyle name="Comma  - Style3" xfId="2610"/>
    <cellStyle name="Comma  - Style4" xfId="2611"/>
    <cellStyle name="Comma  - Style5" xfId="2612"/>
    <cellStyle name="Comma  - Style6" xfId="2613"/>
    <cellStyle name="Comma  - Style7" xfId="2614"/>
    <cellStyle name="Comma  - Style8" xfId="2615"/>
    <cellStyle name="Comma [0]_!!!GO" xfId="3140"/>
    <cellStyle name="Comma [00]" xfId="2616"/>
    <cellStyle name="Comma 2" xfId="2617"/>
    <cellStyle name="Comma 3" xfId="2618"/>
    <cellStyle name="Comma 4" xfId="2619"/>
    <cellStyle name="Comma 5" xfId="2620"/>
    <cellStyle name="Comma 6" xfId="2621"/>
    <cellStyle name="Comma_!!!GO" xfId="3141"/>
    <cellStyle name="Comma0" xfId="2622"/>
    <cellStyle name="Comma0 - Modelo1" xfId="2623"/>
    <cellStyle name="Comma0 - Style1" xfId="2624"/>
    <cellStyle name="Comma1 - Modelo2" xfId="2625"/>
    <cellStyle name="Comma1 - Style2" xfId="2626"/>
    <cellStyle name="Company Name" xfId="2627"/>
    <cellStyle name="Config Name" xfId="2628"/>
    <cellStyle name="Copied" xfId="2629"/>
    <cellStyle name="COST1" xfId="2630"/>
    <cellStyle name="Costs" xfId="2631"/>
    <cellStyle name="Cuadro 1" xfId="2632"/>
    <cellStyle name="Currency" xfId="2633"/>
    <cellStyle name="Currency [0]_!!!GO" xfId="3142"/>
    <cellStyle name="Currency [00]" xfId="2634"/>
    <cellStyle name="Currency 2" xfId="2635"/>
    <cellStyle name="Currency_!!!GO" xfId="3143"/>
    <cellStyle name="Currency0" xfId="2636"/>
    <cellStyle name="Currency-protected" xfId="2637"/>
    <cellStyle name="Date" xfId="2638"/>
    <cellStyle name="Date Short" xfId="2639"/>
    <cellStyle name="Date_20090609 EBC VILLA EDEN-Alberto-Oscar" xfId="2640"/>
    <cellStyle name="Description" xfId="2641"/>
    <cellStyle name="Description 2" xfId="2642"/>
    <cellStyle name="Dia" xfId="2643"/>
    <cellStyle name="Diseño" xfId="2644"/>
    <cellStyle name="Encabez1" xfId="2645"/>
    <cellStyle name="ENCABEZ1 2" xfId="2646"/>
    <cellStyle name="Encabez2" xfId="2647"/>
    <cellStyle name="Enter Currency (0)" xfId="2648"/>
    <cellStyle name="Enter Currency (2)" xfId="2649"/>
    <cellStyle name="Enter Units (0)" xfId="2650"/>
    <cellStyle name="Enter Units (1)" xfId="2651"/>
    <cellStyle name="Enter Units (2)" xfId="2652"/>
    <cellStyle name="Entered" xfId="2653"/>
    <cellStyle name="Entrée" xfId="2654"/>
    <cellStyle name="entry box" xfId="2655"/>
    <cellStyle name="entry box 2" xfId="2656"/>
    <cellStyle name="ERL" xfId="2657"/>
    <cellStyle name="ERL 2" xfId="2658"/>
    <cellStyle name="Estilo 1" xfId="2659"/>
    <cellStyle name="Estilo 1 2" xfId="2660"/>
    <cellStyle name="Estilo 1 2 2" xfId="2661"/>
    <cellStyle name="Estilo 10" xfId="2662"/>
    <cellStyle name="Estilo 11" xfId="2663"/>
    <cellStyle name="Estilo 11 2" xfId="2664"/>
    <cellStyle name="Estilo 12" xfId="2665"/>
    <cellStyle name="Estilo 13" xfId="2666"/>
    <cellStyle name="Estilo 14" xfId="2667"/>
    <cellStyle name="Estilo 15" xfId="2668"/>
    <cellStyle name="Estilo 16" xfId="2669"/>
    <cellStyle name="Estilo 17" xfId="2670"/>
    <cellStyle name="Estilo 18" xfId="2671"/>
    <cellStyle name="Estilo 19" xfId="2672"/>
    <cellStyle name="Estilo 2" xfId="2673"/>
    <cellStyle name="Estilo 20" xfId="2674"/>
    <cellStyle name="Estilo 21" xfId="2675"/>
    <cellStyle name="Estilo 22" xfId="2676"/>
    <cellStyle name="Estilo 23" xfId="2677"/>
    <cellStyle name="Estilo 24" xfId="2678"/>
    <cellStyle name="Estilo 25" xfId="2679"/>
    <cellStyle name="Estilo 26" xfId="2680"/>
    <cellStyle name="Estilo 27" xfId="2681"/>
    <cellStyle name="Estilo 28" xfId="2682"/>
    <cellStyle name="Estilo 29" xfId="2683"/>
    <cellStyle name="Estilo 3" xfId="2684"/>
    <cellStyle name="Estilo 30" xfId="2685"/>
    <cellStyle name="Estilo 31" xfId="2686"/>
    <cellStyle name="Estilo 32" xfId="2687"/>
    <cellStyle name="Estilo 33" xfId="2688"/>
    <cellStyle name="Estilo 34" xfId="2689"/>
    <cellStyle name="Estilo 35" xfId="2690"/>
    <cellStyle name="Estilo 36" xfId="2691"/>
    <cellStyle name="Estilo 37" xfId="2692"/>
    <cellStyle name="Estilo 4" xfId="2693"/>
    <cellStyle name="Estilo 4 2" xfId="2694"/>
    <cellStyle name="Estilo 5" xfId="2695"/>
    <cellStyle name="Estilo 6" xfId="2696"/>
    <cellStyle name="Estilo 7" xfId="2697"/>
    <cellStyle name="Estilo 8" xfId="2698"/>
    <cellStyle name="Estilo 9" xfId="2699"/>
    <cellStyle name="Euro" xfId="2700"/>
    <cellStyle name="Euro 2" xfId="2701"/>
    <cellStyle name="Euro 3" xfId="2702"/>
    <cellStyle name="Explanatory Text" xfId="2703"/>
    <cellStyle name="F2" xfId="2704"/>
    <cellStyle name="F2 2" xfId="2705"/>
    <cellStyle name="F3" xfId="2706"/>
    <cellStyle name="F3 2" xfId="2707"/>
    <cellStyle name="F4" xfId="2708"/>
    <cellStyle name="F4 2" xfId="2709"/>
    <cellStyle name="F5" xfId="2710"/>
    <cellStyle name="F5 2" xfId="2711"/>
    <cellStyle name="F6" xfId="2712"/>
    <cellStyle name="F6 2" xfId="2713"/>
    <cellStyle name="F7" xfId="2714"/>
    <cellStyle name="F7 2" xfId="2715"/>
    <cellStyle name="F8" xfId="2716"/>
    <cellStyle name="F8 2" xfId="2717"/>
    <cellStyle name="FAB level" xfId="2718"/>
    <cellStyle name="FAB level 2" xfId="2719"/>
    <cellStyle name="FAB no" xfId="2720"/>
    <cellStyle name="FAB price" xfId="2721"/>
    <cellStyle name="FAB price 2" xfId="2722"/>
    <cellStyle name="Fecha" xfId="2723"/>
    <cellStyle name="Fecha 2" xfId="2724"/>
    <cellStyle name="Fecha1 - Estilo1" xfId="2725"/>
    <cellStyle name="Fijo" xfId="2726"/>
    <cellStyle name="Fijo 2" xfId="2727"/>
    <cellStyle name="Fijo 3" xfId="2728"/>
    <cellStyle name="Financiero" xfId="2729"/>
    <cellStyle name="Financiero 2" xfId="2730"/>
    <cellStyle name="Fixed" xfId="2731"/>
    <cellStyle name="Followed Hyperlink" xfId="2732"/>
    <cellStyle name="Good" xfId="2733"/>
    <cellStyle name="green" xfId="2734"/>
    <cellStyle name="Grey" xfId="2735"/>
    <cellStyle name="GSR" xfId="2736"/>
    <cellStyle name="He" xfId="2737"/>
    <cellStyle name="He1" xfId="2738"/>
    <cellStyle name="He10" xfId="2739"/>
    <cellStyle name="He11" xfId="2740"/>
    <cellStyle name="He2" xfId="2741"/>
    <cellStyle name="HEADER" xfId="2742"/>
    <cellStyle name="Header - Style1" xfId="2743"/>
    <cellStyle name="HEADER 2" xfId="2744"/>
    <cellStyle name="HEADER 3" xfId="2745"/>
    <cellStyle name="HEADER 4" xfId="2746"/>
    <cellStyle name="HEADER 5" xfId="2747"/>
    <cellStyle name="HEADER 6" xfId="2748"/>
    <cellStyle name="HEADER 7" xfId="2749"/>
    <cellStyle name="HEADER_20090609 EBC VILLA EDEN-Alberto-Oscar" xfId="2750"/>
    <cellStyle name="Header1" xfId="2751"/>
    <cellStyle name="Header2" xfId="2752"/>
    <cellStyle name="Heading" xfId="2753"/>
    <cellStyle name="Heading 1" xfId="2754"/>
    <cellStyle name="Heading 2" xfId="2755"/>
    <cellStyle name="heading 2 2" xfId="2756"/>
    <cellStyle name="Heading 3" xfId="2757"/>
    <cellStyle name="Heading 4" xfId="2758"/>
    <cellStyle name="Heading_OFE UMBE _(Ref. 20-04-11)" xfId="2759"/>
    <cellStyle name="HEADING1" xfId="2760"/>
    <cellStyle name="HEADING2" xfId="2761"/>
    <cellStyle name="Headline" xfId="2762"/>
    <cellStyle name="Hidden" xfId="2763"/>
    <cellStyle name="HIGHLIGHT" xfId="2764"/>
    <cellStyle name="Highlight 2" xfId="2765"/>
    <cellStyle name="HIGHLIGHT_20090716-AYARSA-ECELYNJOSE_final tm" xfId="2766"/>
    <cellStyle name="Hipervínculo 2" xfId="2767"/>
    <cellStyle name="Hyperlink" xfId="2768"/>
    <cellStyle name="Indefinido" xfId="2769"/>
    <cellStyle name="Index" xfId="2770"/>
    <cellStyle name="Info" xfId="2771"/>
    <cellStyle name="Input" xfId="2772"/>
    <cellStyle name="Input %" xfId="2773"/>
    <cellStyle name="Input [yellow]" xfId="2774"/>
    <cellStyle name="Input [yellow] 2" xfId="2775"/>
    <cellStyle name="Input 0" xfId="2776"/>
    <cellStyle name="Input 0,0" xfId="2777"/>
    <cellStyle name="Input 2" xfId="2778"/>
    <cellStyle name="Input 3" xfId="2779"/>
    <cellStyle name="Input 4" xfId="2780"/>
    <cellStyle name="Input 5" xfId="2781"/>
    <cellStyle name="Input 6" xfId="2782"/>
    <cellStyle name="Input 7" xfId="2783"/>
    <cellStyle name="Input Cell" xfId="2784"/>
    <cellStyle name="Input Cells" xfId="2785"/>
    <cellStyle name="Input_&amp;_Assumptions_Hdr" xfId="2786"/>
    <cellStyle name="Input2" xfId="2787"/>
    <cellStyle name="Item" xfId="2788"/>
    <cellStyle name="Jun" xfId="2789"/>
    <cellStyle name="katko" xfId="2790"/>
    <cellStyle name="kjk" xfId="2791"/>
    <cellStyle name="Komma [0]_RESULTS" xfId="2792"/>
    <cellStyle name="Komma_RESULTS" xfId="2793"/>
    <cellStyle name="Legal 8½ x 14 in" xfId="2794"/>
    <cellStyle name="Link Currency (0)" xfId="2795"/>
    <cellStyle name="Link Currency (2)" xfId="2796"/>
    <cellStyle name="Link Units (0)" xfId="2797"/>
    <cellStyle name="Link Units (1)" xfId="2798"/>
    <cellStyle name="Link Units (2)" xfId="2799"/>
    <cellStyle name="Linked Cell" xfId="2800"/>
    <cellStyle name="Linked Cells" xfId="2801"/>
    <cellStyle name="MARQ" xfId="2802"/>
    <cellStyle name="Masan" xfId="2803"/>
    <cellStyle name="Matrice" xfId="2804"/>
    <cellStyle name="Migliaia (0)" xfId="2805"/>
    <cellStyle name="Migliaia_1641SM D" xfId="2806"/>
    <cellStyle name="Millares 12" xfId="1"/>
    <cellStyle name="Millares 2" xfId="2807"/>
    <cellStyle name="Millares 2 2" xfId="2808"/>
    <cellStyle name="Millares 2 2 2" xfId="2809"/>
    <cellStyle name="Millares 2 2 3" xfId="2810"/>
    <cellStyle name="Millares 2 3" xfId="2811"/>
    <cellStyle name="Millares 2 3 2" xfId="2812"/>
    <cellStyle name="Millares 3" xfId="2813"/>
    <cellStyle name="Millares 3 2" xfId="2814"/>
    <cellStyle name="Millares 3 3" xfId="2815"/>
    <cellStyle name="Millares 3 4" xfId="2816"/>
    <cellStyle name="Millares 4" xfId="2817"/>
    <cellStyle name="Millares 4 2" xfId="2818"/>
    <cellStyle name="Millares 4 3" xfId="2819"/>
    <cellStyle name="Millares 4 4" xfId="2820"/>
    <cellStyle name="Millares 4 5" xfId="2821"/>
    <cellStyle name="Millares 5" xfId="2822"/>
    <cellStyle name="Millares 5 3 4" xfId="2823"/>
    <cellStyle name="Millares 6" xfId="2824"/>
    <cellStyle name="Millares 6 3 4" xfId="2825"/>
    <cellStyle name="Millares 7" xfId="2826"/>
    <cellStyle name="Millares 8" xfId="2827"/>
    <cellStyle name="Milliers [0]_!!!GO" xfId="2828"/>
    <cellStyle name="Milliers_!!!GO" xfId="2829"/>
    <cellStyle name="Model" xfId="2830"/>
    <cellStyle name="Moeda [0]_5.7.8.1" xfId="2831"/>
    <cellStyle name="Moeda_5.7.8.1" xfId="2832"/>
    <cellStyle name="Moneda 2" xfId="2833"/>
    <cellStyle name="Moneda 2 10" xfId="2834"/>
    <cellStyle name="Moneda 2 2" xfId="2835"/>
    <cellStyle name="Moneda 2 3" xfId="2836"/>
    <cellStyle name="Moneda 2 4" xfId="2837"/>
    <cellStyle name="Moneda 3" xfId="2838"/>
    <cellStyle name="Moneda 3 2" xfId="2839"/>
    <cellStyle name="Moneda 4" xfId="2840"/>
    <cellStyle name="Moneda 5" xfId="2841"/>
    <cellStyle name="Moneda 6" xfId="2842"/>
    <cellStyle name="Monétaire [0]_!!!GO" xfId="2843"/>
    <cellStyle name="Monétaire_!!!GO" xfId="2844"/>
    <cellStyle name="Monetario" xfId="2845"/>
    <cellStyle name="Monetario 2" xfId="2846"/>
    <cellStyle name="Monetario0" xfId="2847"/>
    <cellStyle name="Names" xfId="2848"/>
    <cellStyle name="Names 2" xfId="2849"/>
    <cellStyle name="NivelCol_" xfId="2850"/>
    <cellStyle name="no dec" xfId="2851"/>
    <cellStyle name="No-definido" xfId="2852"/>
    <cellStyle name="Normal" xfId="0" builtinId="0"/>
    <cellStyle name="Normal - Modelo2" xfId="2853"/>
    <cellStyle name="Normal - Modelo3" xfId="2854"/>
    <cellStyle name="Normal - Modelo4" xfId="2855"/>
    <cellStyle name="Normal - Modelo5" xfId="2856"/>
    <cellStyle name="Normal - Style1" xfId="2857"/>
    <cellStyle name="Normal - Style1 2" xfId="2858"/>
    <cellStyle name="Normal 10" xfId="2859"/>
    <cellStyle name="Normal 10 3 4" xfId="2860"/>
    <cellStyle name="Normal 11" xfId="2861"/>
    <cellStyle name="Normal 11 3 4" xfId="2862"/>
    <cellStyle name="Normal 11 3 4 2" xfId="2863"/>
    <cellStyle name="Normal 11 3 5" xfId="2864"/>
    <cellStyle name="Normal 12" xfId="2865"/>
    <cellStyle name="Normal 12 3 4" xfId="2866"/>
    <cellStyle name="Normal 13" xfId="2867"/>
    <cellStyle name="Normal 13 2" xfId="2868"/>
    <cellStyle name="Normal 14" xfId="2869"/>
    <cellStyle name="Normal 14 2" xfId="2870"/>
    <cellStyle name="Normal 15" xfId="2871"/>
    <cellStyle name="Normal 16" xfId="2872"/>
    <cellStyle name="Normal 17" xfId="2873"/>
    <cellStyle name="Normal 18" xfId="2874"/>
    <cellStyle name="Normal 18 2" xfId="2875"/>
    <cellStyle name="Normal 19" xfId="2876"/>
    <cellStyle name="Normal 2" xfId="2877"/>
    <cellStyle name="Normal 2 10" xfId="2878"/>
    <cellStyle name="Normal 2 2" xfId="2879"/>
    <cellStyle name="Normal 2 2 2" xfId="2880"/>
    <cellStyle name="Normal 2 2 2 2" xfId="2881"/>
    <cellStyle name="Normal 2 3" xfId="2882"/>
    <cellStyle name="Normal 2 3 2" xfId="2883"/>
    <cellStyle name="Normal 2 3 3" xfId="2884"/>
    <cellStyle name="Normal 2 35" xfId="2885"/>
    <cellStyle name="Normal 2 36" xfId="2886"/>
    <cellStyle name="Normal 2 37" xfId="2887"/>
    <cellStyle name="Normal 2 38" xfId="2888"/>
    <cellStyle name="Normal 2 39" xfId="2889"/>
    <cellStyle name="Normal 2 4" xfId="2890"/>
    <cellStyle name="Normal 2 4 2" xfId="2891"/>
    <cellStyle name="Normal 2 47" xfId="2892"/>
    <cellStyle name="Normal 2 50" xfId="2893"/>
    <cellStyle name="Normal 2 51" xfId="2894"/>
    <cellStyle name="Normal 2 56" xfId="2895"/>
    <cellStyle name="Normal 2 57" xfId="2896"/>
    <cellStyle name="Normal 2_bentonita y thorgel - vila vila" xfId="2897"/>
    <cellStyle name="Normal 20" xfId="2898"/>
    <cellStyle name="Normal 21" xfId="2899"/>
    <cellStyle name="Normal 21 5" xfId="2900"/>
    <cellStyle name="Normal 22" xfId="2901"/>
    <cellStyle name="Normal 23" xfId="2902"/>
    <cellStyle name="Normal 24" xfId="2903"/>
    <cellStyle name="Normal 25" xfId="2904"/>
    <cellStyle name="Normal 3" xfId="2905"/>
    <cellStyle name="Normal 3 2" xfId="2906"/>
    <cellStyle name="Normal 3 2 2" xfId="2907"/>
    <cellStyle name="Normal 3 2 3" xfId="2908"/>
    <cellStyle name="Normal 3 3" xfId="2909"/>
    <cellStyle name="Normal 3 3 2" xfId="2910"/>
    <cellStyle name="Normal 4" xfId="2911"/>
    <cellStyle name="Normal 4 2" xfId="2912"/>
    <cellStyle name="Normal 5" xfId="2913"/>
    <cellStyle name="Normal 5 2" xfId="2914"/>
    <cellStyle name="Normal 6" xfId="2915"/>
    <cellStyle name="Normal 6 2" xfId="2916"/>
    <cellStyle name="Normal 6 3" xfId="2917"/>
    <cellStyle name="Normal 6 4" xfId="2918"/>
    <cellStyle name="Normal 7" xfId="2919"/>
    <cellStyle name="Normal 7 3" xfId="2920"/>
    <cellStyle name="Normal 8" xfId="2921"/>
    <cellStyle name="Normal 8 2" xfId="2922"/>
    <cellStyle name="Normal 9" xfId="2923"/>
    <cellStyle name="Normal bold" xfId="2924"/>
    <cellStyle name="Normal Italics" xfId="2925"/>
    <cellStyle name="Normale_1511" xfId="2926"/>
    <cellStyle name="Normalny_Arkusz1" xfId="2927"/>
    <cellStyle name="Note" xfId="2928"/>
    <cellStyle name="Obsolete" xfId="2929"/>
    <cellStyle name="Œ…‹æØ‚è [0.00]_!!!GO" xfId="2930"/>
    <cellStyle name="Œ…‹æØ‚è_!!!GO" xfId="2931"/>
    <cellStyle name="One-Decimal" xfId="2932"/>
    <cellStyle name="One-Decimal 2" xfId="2933"/>
    <cellStyle name="Output" xfId="2934"/>
    <cellStyle name="Part number" xfId="2935"/>
    <cellStyle name="Per" xfId="2936"/>
    <cellStyle name="per.style" xfId="2937"/>
    <cellStyle name="Percent" xfId="4"/>
    <cellStyle name="Percent (0)" xfId="2938"/>
    <cellStyle name="Percent [0]" xfId="2939"/>
    <cellStyle name="Percent [00]" xfId="2940"/>
    <cellStyle name="Percent [2]" xfId="2941"/>
    <cellStyle name="Percent 2" xfId="2942"/>
    <cellStyle name="Percent_7563-MALVINAS PS-1800 01 revision 0 para cotizar" xfId="2943"/>
    <cellStyle name="Porcentaje" xfId="3139" builtinId="5"/>
    <cellStyle name="Porcentaje 2" xfId="2944"/>
    <cellStyle name="Porcentual 2" xfId="2945"/>
    <cellStyle name="Porcentual 2 2" xfId="2946"/>
    <cellStyle name="Porcentual 2 2 2" xfId="2947"/>
    <cellStyle name="Porcentual 2 3" xfId="2948"/>
    <cellStyle name="Porcentual 3" xfId="2949"/>
    <cellStyle name="Porcentual 3 2" xfId="2950"/>
    <cellStyle name="Porcentual 4" xfId="2951"/>
    <cellStyle name="Porcentual 5" xfId="2952"/>
    <cellStyle name="port" xfId="2953"/>
    <cellStyle name="port 2" xfId="2954"/>
    <cellStyle name="pourcent" xfId="2955"/>
    <cellStyle name="Preço-Unit-Tot" xfId="2956"/>
    <cellStyle name="Prefilled" xfId="2957"/>
    <cellStyle name="Prefilled 2" xfId="2958"/>
    <cellStyle name="PrePop Currency (0)" xfId="2959"/>
    <cellStyle name="PrePop Currency (2)" xfId="2960"/>
    <cellStyle name="PrePop Units (0)" xfId="2961"/>
    <cellStyle name="PrePop Units (1)" xfId="2962"/>
    <cellStyle name="PrePop Units (2)" xfId="2963"/>
    <cellStyle name="Pricelist_level1" xfId="2964"/>
    <cellStyle name="Pricing" xfId="2965"/>
    <cellStyle name="Pricing 2" xfId="2966"/>
    <cellStyle name="Product Sub-Headng" xfId="2967"/>
    <cellStyle name="Protected" xfId="2968"/>
    <cellStyle name="PSChar" xfId="2969"/>
    <cellStyle name="PSDate" xfId="2970"/>
    <cellStyle name="PSDec" xfId="2971"/>
    <cellStyle name="PSHeading" xfId="2972"/>
    <cellStyle name="PSInt" xfId="2973"/>
    <cellStyle name="PSSpacer" xfId="2974"/>
    <cellStyle name="Punto" xfId="2975"/>
    <cellStyle name="Punto0" xfId="2976"/>
    <cellStyle name="Punto0 - Estilo2" xfId="2977"/>
    <cellStyle name="Punto0_20090514-DURAZNOS 2-Diana&amp;Jose-R1" xfId="2978"/>
    <cellStyle name="Punto1 - Modelo1" xfId="2979"/>
    <cellStyle name="Quant." xfId="2980"/>
    <cellStyle name="Red Heading" xfId="2981"/>
    <cellStyle name="Result" xfId="2982"/>
    <cellStyle name="RevList" xfId="2983"/>
    <cellStyle name="RM" xfId="2984"/>
    <cellStyle name="robs" xfId="2985"/>
    <cellStyle name="ROF no" xfId="2986"/>
    <cellStyle name="ROF price" xfId="2987"/>
    <cellStyle name="SAPBEXaggData" xfId="2988"/>
    <cellStyle name="SAPBEXaggItem" xfId="2989"/>
    <cellStyle name="SAPBEXchaText" xfId="2990"/>
    <cellStyle name="SAPBEXstdData" xfId="2991"/>
    <cellStyle name="SAPBEXstdItem" xfId="2992"/>
    <cellStyle name="Section name" xfId="2993"/>
    <cellStyle name="Separador de milhares [0]_ADENDO5+JAI" xfId="2994"/>
    <cellStyle name="Separador de milhares_ADENDO5+JAI" xfId="2995"/>
    <cellStyle name="Small Print" xfId="2996"/>
    <cellStyle name="SPOl" xfId="2997"/>
    <cellStyle name="Spreadsheet title" xfId="2998"/>
    <cellStyle name="Standard_1_plus_1_ServiceOn Access Pricing Tool v1.55" xfId="2999"/>
    <cellStyle name="STYL1 - Style1" xfId="3000"/>
    <cellStyle name="Style 1" xfId="3001"/>
    <cellStyle name="Style 10" xfId="3002"/>
    <cellStyle name="Style 11" xfId="3003"/>
    <cellStyle name="Style 12" xfId="3004"/>
    <cellStyle name="Style 13" xfId="3005"/>
    <cellStyle name="Style 14" xfId="3006"/>
    <cellStyle name="Style 15" xfId="3007"/>
    <cellStyle name="Style 16" xfId="3008"/>
    <cellStyle name="Style 17" xfId="3009"/>
    <cellStyle name="Style 18" xfId="3010"/>
    <cellStyle name="Style 19" xfId="3011"/>
    <cellStyle name="Style 2" xfId="3012"/>
    <cellStyle name="Style 20" xfId="3013"/>
    <cellStyle name="Style 21" xfId="3014"/>
    <cellStyle name="Style 22" xfId="3015"/>
    <cellStyle name="Style 23" xfId="3016"/>
    <cellStyle name="Style 24" xfId="3017"/>
    <cellStyle name="Style 25" xfId="3018"/>
    <cellStyle name="Style 26" xfId="3019"/>
    <cellStyle name="Style 3" xfId="3020"/>
    <cellStyle name="Style 4" xfId="3021"/>
    <cellStyle name="Style 5" xfId="3022"/>
    <cellStyle name="Style 6" xfId="3023"/>
    <cellStyle name="Style 7" xfId="3024"/>
    <cellStyle name="Style 8" xfId="3025"/>
    <cellStyle name="Style 9" xfId="3026"/>
    <cellStyle name="subhead" xfId="3027"/>
    <cellStyle name="Sub-titulo" xfId="3028"/>
    <cellStyle name="Sub-titulo 2" xfId="3029"/>
    <cellStyle name="Subtotal" xfId="3030"/>
    <cellStyle name="Sub-total" xfId="3031"/>
    <cellStyle name="Subtotal 2" xfId="3032"/>
    <cellStyle name="Subtotal 3" xfId="3033"/>
    <cellStyle name="Subtotal 4" xfId="3034"/>
    <cellStyle name="Subtotal 5" xfId="3035"/>
    <cellStyle name="Subtotal 6" xfId="3036"/>
    <cellStyle name="Subtotal 7" xfId="3037"/>
    <cellStyle name="Subtotal_20090609 EBC VILLA EDEN-Alberto-Oscar" xfId="3038"/>
    <cellStyle name="Sub-total_OFE UMBE _(Ref. 20-04-11)" xfId="3039"/>
    <cellStyle name="SUPPR" xfId="3040"/>
    <cellStyle name="Table" xfId="3041"/>
    <cellStyle name="taples Plaza" xfId="3042"/>
    <cellStyle name="Text Indent A" xfId="3043"/>
    <cellStyle name="Text Indent B" xfId="3044"/>
    <cellStyle name="Text Indent C" xfId="3045"/>
    <cellStyle name="þ_x001d_ð&quot;_x000c_Býò_x000c_5ýU_x0001_e_x0005_¹,_x0007__x0001__x0001_" xfId="3046"/>
    <cellStyle name="Title" xfId="3047"/>
    <cellStyle name="Titulo-Seccion" xfId="3048"/>
    <cellStyle name="Tusental (0)_Blad1 (2)" xfId="3049"/>
    <cellStyle name="Tusental_A-listan (fixad)" xfId="3050"/>
    <cellStyle name="Unlocked" xfId="3051"/>
    <cellStyle name="Unprot" xfId="3052"/>
    <cellStyle name="Unprot$" xfId="3053"/>
    <cellStyle name="Unprotect" xfId="3054"/>
    <cellStyle name="Valuta (0)" xfId="3055"/>
    <cellStyle name="Valuta [0]_RESULTS" xfId="3056"/>
    <cellStyle name="Valuta_1 new STM 16 ring" xfId="3057"/>
    <cellStyle name="VerdiAreaName" xfId="3058"/>
    <cellStyle name="VerdiColumnHeader" xfId="3059"/>
    <cellStyle name="VerdiColumnHeaders" xfId="3060"/>
    <cellStyle name="VerdiCost" xfId="3061"/>
    <cellStyle name="VerdiDescription" xfId="3062"/>
    <cellStyle name="VerdiDesignDate" xfId="3063"/>
    <cellStyle name="VerdiDiscount" xfId="3064"/>
    <cellStyle name="VerdiEricssonName" xfId="3065"/>
    <cellStyle name="VerdiFireCode" xfId="3066"/>
    <cellStyle name="VerdiFireCodeDescription" xfId="3067"/>
    <cellStyle name="VerdiGAQuantity" xfId="3068"/>
    <cellStyle name="VerdiGAValue" xfId="3069"/>
    <cellStyle name="VerdiGrandTotal" xfId="3070"/>
    <cellStyle name="VerdiGrossMargin%" xfId="3071"/>
    <cellStyle name="VerdiItemno" xfId="3072"/>
    <cellStyle name="VerdiLocalProduct" xfId="3073"/>
    <cellStyle name="VerdiManager" xfId="3074"/>
    <cellStyle name="VerdiNetRPF" xfId="3075"/>
    <cellStyle name="VerdiNodeDescription" xfId="3076"/>
    <cellStyle name="VerdiOfferingDate" xfId="3077"/>
    <cellStyle name="VerdiOrderable" xfId="3078"/>
    <cellStyle name="VerdiOrderingDate" xfId="3079"/>
    <cellStyle name="VerdiPriceErosion" xfId="3080"/>
    <cellStyle name="VerdiPriceObjects" xfId="3081"/>
    <cellStyle name="VerdiProductNo" xfId="3082"/>
    <cellStyle name="VerdiProductNumber" xfId="3083"/>
    <cellStyle name="VerdiProductUnit" xfId="3084"/>
    <cellStyle name="VerdiQuantity" xfId="3085"/>
    <cellStyle name="VerdiReleaseCode" xfId="3086"/>
    <cellStyle name="VerdiReleaseCodeDate" xfId="3087"/>
    <cellStyle name="VerdiReportCaption" xfId="3088"/>
    <cellStyle name="VerdiRestrictedCode" xfId="3089"/>
    <cellStyle name="VerdiRPF" xfId="3090"/>
    <cellStyle name="VerdiSBS" xfId="3091"/>
    <cellStyle name="VerdiScenarioDiscount" xfId="3092"/>
    <cellStyle name="VerdiShortName" xfId="3093"/>
    <cellStyle name="VerdiSubTotals" xfId="3094"/>
    <cellStyle name="VerdiTotal" xfId="3095"/>
    <cellStyle name="VerdiTotalCost" xfId="3096"/>
    <cellStyle name="VerdiTotalGross" xfId="3097"/>
    <cellStyle name="VerdiTotalGrossMargin" xfId="3098"/>
    <cellStyle name="VerdiTotalNet" xfId="3099"/>
    <cellStyle name="VerdiTotalNetPrice" xfId="3100"/>
    <cellStyle name="VerdiTotalPAPE" xfId="3101"/>
    <cellStyle name="VerdiTotalReference" xfId="3102"/>
    <cellStyle name="VerdiTotGA" xfId="3103"/>
    <cellStyle name="VerdiTotGrossPrice" xfId="3104"/>
    <cellStyle name="VerdiTotNetPrice" xfId="3105"/>
    <cellStyle name="VerdiTotPAPE" xfId="3106"/>
    <cellStyle name="VerdiTotRefPrice" xfId="3107"/>
    <cellStyle name="VerdiTypeSiteName" xfId="3108"/>
    <cellStyle name="VerdiUnit" xfId="3109"/>
    <cellStyle name="VerdiUnitCost" xfId="3110"/>
    <cellStyle name="VerdiUnitGross" xfId="3111"/>
    <cellStyle name="VerdiUnitGrossPrice" xfId="3112"/>
    <cellStyle name="VerdiUnitNet" xfId="3113"/>
    <cellStyle name="VerdiUnitNetPrice" xfId="3114"/>
    <cellStyle name="VerdiUnitPAPE" xfId="3115"/>
    <cellStyle name="VerdiUnitReference" xfId="3116"/>
    <cellStyle name="VerdiUnitRefPrice" xfId="3117"/>
    <cellStyle name="Währung [0]_AT&amp;T (2)" xfId="3118"/>
    <cellStyle name="Währung_AT&amp;T (2)" xfId="3119"/>
    <cellStyle name="Warning" xfId="3120"/>
    <cellStyle name="Warning Text" xfId="3121"/>
    <cellStyle name="WHead - Style2" xfId="3122"/>
    <cellStyle name="WhitePattern1" xfId="3123"/>
    <cellStyle name="Year" xfId="3124"/>
    <cellStyle name="一般_VKA0109A_Katy 0601" xfId="3125"/>
    <cellStyle name="千位[0]_laroux" xfId="3126"/>
    <cellStyle name="千位_laroux" xfId="3127"/>
    <cellStyle name="千位分隔[0]_1" xfId="3128"/>
    <cellStyle name="千位分隔_1" xfId="3129"/>
    <cellStyle name="千分位[0]_laroux" xfId="3130"/>
    <cellStyle name="千分位_laroux" xfId="3131"/>
    <cellStyle name="后继超级链接_湖南六期900话务计算及配置" xfId="3132"/>
    <cellStyle name="常规_1" xfId="3133"/>
    <cellStyle name="普通_laroux" xfId="3134"/>
    <cellStyle name="標準_Financial Analysis_BP-Monthly(Final)_BP-ver.2.0_991204(Heavy_PP)" xfId="3135"/>
    <cellStyle name="货币[0]_1" xfId="3136"/>
    <cellStyle name="货币_1" xfId="3137"/>
    <cellStyle name="超级链接_湖南六期900话务计算及配置" xfId="31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Docs\EXCEL\OFFERTE\belgio\ema\filemiei\CATV_H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WINDOWS\Archivos%20temporales%20de%20Internet\OLK80B5\LLt0301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My%20Documents\Prislister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A\ATABEX\MIDDLEEA\SYRIA\BOM1SDH\1511ANC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OFFERTE\VENEZUEL\ELCA\ELCA2\EMA\XMYA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OFFERTE\SIRIA\INTERCIT\XMY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onte/AppData/Local/Microsoft/Windows/Temporary%20Internet%20Files/Content.Outlook/261HLIK5/Quanta-Peru/Gilat/Contratistas/Copy%20of%20COSTOS%20Re%20dise&#241;o_Permiso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ta-Peru/Gilat/Contratistas/Copy%20of%20COSTOS%20Re%20dise&#241;o_Permis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MWD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Cesar%20Isla\Configuraci&#243;n%20local\Archivos%20temporales%20de%20Internet\Content.Outlook\G5V6ZU6N\Copia%20de%20TORRE%20TAGLE%20(4)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jalcantara\JALCANTARA\OFERTAS\7422\DPTO\CIVIL\7422CWX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QSP%20-%20TELEFONICA\CBC%20-%20FIC\FORMATOS%20SBE\ANALISIS%20DE%20LIQ%20QSP\2013-3%20A_CORNEJO-Analizada\25082014-LIQ.%20A.Cornejo%20v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n-intra.net\dfs\My%20Documents\WIN\Jambala\DimensioningTool\luisXVIpa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OBRAS\15078870%20Obras%20Infraestructura%20Lambayeque\Preciarios\Catalog+Template+for+TPERU_V1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9600UH9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LAPFS01\Documentos%20P&#250;blicos\YANG\JI--QING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nergia"/>
      <sheetName val="Telefonicos"/>
      <sheetName val="Comerciales"/>
      <sheetName val="Aluminio"/>
      <sheetName val="Telefonico"/>
    </sheetNames>
    <sheetDataSet>
      <sheetData sheetId="0">
        <row r="2">
          <cell r="A2">
            <v>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  <sheetName val="Hardware Support"/>
      <sheetName val="Ind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  <sheetName val="1515"/>
      <sheetName val="INVOICE"/>
      <sheetName val="Others"/>
    </sheetNames>
    <sheetDataSet>
      <sheetData sheetId="0" refreshError="1">
        <row r="11">
          <cell r="D11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  <sheetName val="SPEC.LISTA"/>
      <sheetName val="Calculos Emerson"/>
    </sheetNames>
    <sheetDataSet>
      <sheetData sheetId="0" refreshError="1">
        <row r="16">
          <cell r="D16">
            <v>4.625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DE DIG &amp; DIS"/>
      <sheetName val="GESTION DE PERMISOS"/>
      <sheetName val="VALIDACION"/>
    </sheetNames>
    <sheetDataSet>
      <sheetData sheetId="0"/>
      <sheetData sheetId="1"/>
      <sheetData sheetId="2">
        <row r="2">
          <cell r="A2" t="str">
            <v>Km.</v>
          </cell>
        </row>
        <row r="3">
          <cell r="A3" t="str">
            <v>Millar</v>
          </cell>
        </row>
        <row r="4">
          <cell r="A4" t="str">
            <v>Persona</v>
          </cell>
        </row>
        <row r="5">
          <cell r="A5" t="str">
            <v>Unidad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DE DIG &amp; DIS"/>
      <sheetName val="GESTION DE PERMISOS"/>
      <sheetName val="VALIDACION"/>
    </sheetNames>
    <sheetDataSet>
      <sheetData sheetId="0"/>
      <sheetData sheetId="1"/>
      <sheetData sheetId="2">
        <row r="2">
          <cell r="A2" t="str">
            <v>Km.</v>
          </cell>
        </row>
        <row r="3">
          <cell r="A3" t="str">
            <v>Millar</v>
          </cell>
        </row>
        <row r="4">
          <cell r="A4" t="str">
            <v>Persona</v>
          </cell>
        </row>
        <row r="5">
          <cell r="A5" t="str">
            <v>Unidad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- TM"/>
      <sheetName val="B&amp;A"/>
      <sheetName val="OA"/>
      <sheetName val="OA SALA"/>
      <sheetName val="MIMETIZACIONES"/>
      <sheetName val="EM"/>
      <sheetName val="EL"/>
      <sheetName val="METRADO"/>
      <sheetName val="HR-TECNOCOM"/>
      <sheetName val="Hoja1"/>
      <sheetName val="RESUMEN_-_TM"/>
      <sheetName val="OA_S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>
            <v>20727.478266386253</v>
          </cell>
        </row>
        <row r="11">
          <cell r="D11">
            <v>0</v>
          </cell>
        </row>
        <row r="13">
          <cell r="D13">
            <v>0</v>
          </cell>
        </row>
        <row r="19">
          <cell r="D19">
            <v>2482.5047759999998</v>
          </cell>
        </row>
        <row r="23">
          <cell r="D23">
            <v>0</v>
          </cell>
        </row>
        <row r="26">
          <cell r="D26">
            <v>0</v>
          </cell>
        </row>
      </sheetData>
      <sheetData sheetId="9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422CW00"/>
      <sheetName val="#¡REF"/>
      <sheetName val="APU"/>
      <sheetName val="SHEET1"/>
      <sheetName val="Detail"/>
      <sheetName val="GENERAL"/>
      <sheetName val="RESUMEN"/>
      <sheetName val="Stl-B"/>
      <sheetName val="DATOS"/>
      <sheetName val="civ_roma"/>
      <sheetName val="INDICES"/>
      <sheetName val="Wind Loads"/>
      <sheetName val="Tablas"/>
      <sheetName val="Fab. 15"/>
      <sheetName val="Comparativa"/>
      <sheetName val="resoc"/>
      <sheetName val="Datos-No imprimir"/>
      <sheetName val="Reaj. (CHAL.)"/>
      <sheetName val="Flota"/>
      <sheetName val="CURVA S DE COSTOS MANT. VIAS"/>
      <sheetName val="HR-TECNOCO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OBRAS VARIAS"/>
      <sheetName val="RESUMEN OFERTA TM"/>
      <sheetName val="Obra Varia+Servicios"/>
      <sheetName val="Tramites Locales"/>
      <sheetName val="Obra Humeda+Aceros"/>
      <sheetName val="Obra Eléctrica y cableados"/>
      <sheetName val="Transporte"/>
      <sheetName val="Estructura Metalica"/>
      <sheetName val="Metrado"/>
      <sheetName val="PACKING LIST T.V.H=6 M"/>
      <sheetName val="Obra Especifica + Transmisi "/>
      <sheetName val="25082014-LIQ. A.Cornejo v01"/>
    </sheetNames>
    <definedNames>
      <definedName name="_sp69" refersTo="#¡REF!"/>
      <definedName name="_xlnm.Database" refersTo="#¡REF!"/>
      <definedName name="dfn.list.bottom"/>
      <definedName name="dfn.list.top"/>
      <definedName name="frete69" refersTo="#¡REF!"/>
      <definedName name="Macro_pf.Macro_pf" refersTo="#¡REF!"/>
      <definedName name="sp69sp" refersTo="#¡REF!"/>
      <definedName name="volta_para_tela_principal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S"/>
      <sheetName val="Input GUI"/>
      <sheetName val="OUTPUT Summary"/>
      <sheetName val="MSC STS Inputs"/>
      <sheetName val="NORAOutput GUI"/>
      <sheetName val="CARMENCITAOutput GUI"/>
      <sheetName val="general RTU"/>
      <sheetName val="SIGNALLINGNETWORK"/>
      <sheetName val="Graphs"/>
      <sheetName val="releasenotes"/>
      <sheetName val="TPSVerifier"/>
      <sheetName val="Scenarios"/>
      <sheetName val="Signalling"/>
      <sheetName val=" Network Input"/>
      <sheetName val="System"/>
      <sheetName val="SCP Input"/>
      <sheetName val="OS"/>
      <sheetName val="Applications"/>
      <sheetName val="Module1"/>
      <sheetName val="Module2"/>
      <sheetName val="Input_GUI"/>
      <sheetName val="OUTPUT_Summary"/>
      <sheetName val="MSC_STS_Inputs"/>
      <sheetName val="NORAOutput_GUI"/>
      <sheetName val="CARMENCITAOutput_GUI"/>
      <sheetName val="general_RTU"/>
      <sheetName val="_Network_Input"/>
      <sheetName val="SCP_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roveedores"/>
      <sheetName val="Commodities"/>
      <sheetName val="Currency"/>
      <sheetName val="UOM"/>
      <sheetName val="Incoterms"/>
      <sheetName val="AwardLines"/>
      <sheetName val="PaymentTerms"/>
      <sheetName val="Idioma"/>
      <sheetName val="UnidadISO"/>
      <sheetName val="SRMUOMS"/>
      <sheetName val="BudgetYears"/>
    </sheetNames>
    <sheetDataSet>
      <sheetData sheetId="0"/>
      <sheetData sheetId="1">
        <row r="1">
          <cell r="D1" t="str">
            <v>VendorName</v>
          </cell>
        </row>
        <row r="2">
          <cell r="D2" t="str">
            <v>DESARROLLO SERVICIOS INVERSIONES Y TELECOMUNICACIONES PERU S.A.C.</v>
          </cell>
        </row>
        <row r="3">
          <cell r="D3" t="str">
            <v>CIA ERICSSON S.A.</v>
          </cell>
        </row>
        <row r="4">
          <cell r="D4" t="str">
            <v>METALES INGENIERIA Y CONSTRUCCION S.A.C</v>
          </cell>
        </row>
        <row r="5">
          <cell r="D5" t="str">
            <v>DISYCON CONSTRUCCIONES SAC</v>
          </cell>
        </row>
        <row r="6">
          <cell r="D6" t="str">
            <v>Quanta Services</v>
          </cell>
        </row>
        <row r="7">
          <cell r="D7" t="str">
            <v>HF TELECOM S.A.C.</v>
          </cell>
        </row>
      </sheetData>
      <sheetData sheetId="2">
        <row r="1">
          <cell r="A1" t="str">
            <v>UniqueName</v>
          </cell>
        </row>
        <row r="2">
          <cell r="A2" t="str">
            <v>2433</v>
          </cell>
        </row>
      </sheetData>
      <sheetData sheetId="3">
        <row r="1">
          <cell r="A1" t="str">
            <v>UniqueName</v>
          </cell>
          <cell r="B1" t="str">
            <v>Description</v>
          </cell>
        </row>
        <row r="2">
          <cell r="A2" t="str">
            <v>PEN</v>
          </cell>
          <cell r="B2" t="str">
            <v>Nuevo Sol</v>
          </cell>
        </row>
      </sheetData>
      <sheetData sheetId="4">
        <row r="1">
          <cell r="A1" t="str">
            <v>UniqueName</v>
          </cell>
        </row>
        <row r="2">
          <cell r="A2" t="str">
            <v>UN</v>
          </cell>
        </row>
        <row r="3">
          <cell r="A3" t="str">
            <v>"2</v>
          </cell>
        </row>
        <row r="4">
          <cell r="A4" t="str">
            <v>"3</v>
          </cell>
        </row>
        <row r="5">
          <cell r="A5" t="str">
            <v>%</v>
          </cell>
        </row>
        <row r="6">
          <cell r="A6" t="str">
            <v>%O</v>
          </cell>
        </row>
        <row r="7">
          <cell r="A7" t="str">
            <v>°C</v>
          </cell>
        </row>
        <row r="8">
          <cell r="A8" t="str">
            <v>°F</v>
          </cell>
        </row>
        <row r="9">
          <cell r="A9" t="str">
            <v>µA</v>
          </cell>
        </row>
        <row r="10">
          <cell r="A10" t="str">
            <v>µF</v>
          </cell>
        </row>
        <row r="11">
          <cell r="A11" t="str">
            <v>µGL</v>
          </cell>
        </row>
        <row r="12">
          <cell r="A12" t="str">
            <v>µGV</v>
          </cell>
        </row>
        <row r="13">
          <cell r="A13" t="str">
            <v>µL</v>
          </cell>
        </row>
        <row r="14">
          <cell r="A14" t="str">
            <v>µM</v>
          </cell>
        </row>
        <row r="15">
          <cell r="A15" t="str">
            <v>000</v>
          </cell>
        </row>
        <row r="16">
          <cell r="A16" t="str">
            <v>001</v>
          </cell>
        </row>
        <row r="17">
          <cell r="A17" t="str">
            <v>22S</v>
          </cell>
        </row>
        <row r="18">
          <cell r="A18" t="str">
            <v>A</v>
          </cell>
        </row>
        <row r="19">
          <cell r="A19" t="str">
            <v>A/U</v>
          </cell>
        </row>
        <row r="20">
          <cell r="A20" t="str">
            <v>AA</v>
          </cell>
        </row>
        <row r="21">
          <cell r="A21" t="str">
            <v>ABO</v>
          </cell>
        </row>
        <row r="22">
          <cell r="A22" t="str">
            <v>ACC</v>
          </cell>
        </row>
        <row r="23">
          <cell r="A23" t="str">
            <v>ACR</v>
          </cell>
        </row>
        <row r="24">
          <cell r="A24" t="str">
            <v>ADE</v>
          </cell>
        </row>
        <row r="25">
          <cell r="A25" t="str">
            <v>ADS</v>
          </cell>
        </row>
        <row r="26">
          <cell r="A26" t="str">
            <v>ALT</v>
          </cell>
        </row>
        <row r="27">
          <cell r="A27" t="str">
            <v>ATD</v>
          </cell>
        </row>
        <row r="28">
          <cell r="A28" t="str">
            <v>AVE</v>
          </cell>
        </row>
        <row r="29">
          <cell r="A29" t="str">
            <v>BAJ</v>
          </cell>
        </row>
        <row r="30">
          <cell r="A30" t="str">
            <v>BAN</v>
          </cell>
        </row>
        <row r="31">
          <cell r="A31" t="str">
            <v>BAR</v>
          </cell>
        </row>
        <row r="32">
          <cell r="A32" t="str">
            <v>BID</v>
          </cell>
        </row>
        <row r="33">
          <cell r="A33" t="str">
            <v>BLK</v>
          </cell>
        </row>
        <row r="34">
          <cell r="A34" t="str">
            <v>BOB</v>
          </cell>
        </row>
        <row r="35">
          <cell r="A35" t="str">
            <v>BOL</v>
          </cell>
        </row>
        <row r="36">
          <cell r="A36" t="str">
            <v>BOT</v>
          </cell>
        </row>
        <row r="37">
          <cell r="A37" t="str">
            <v>BQL</v>
          </cell>
        </row>
        <row r="38">
          <cell r="A38" t="str">
            <v>BTO</v>
          </cell>
        </row>
        <row r="39">
          <cell r="A39" t="str">
            <v>BUC</v>
          </cell>
        </row>
        <row r="40">
          <cell r="A40" t="str">
            <v>C/U</v>
          </cell>
        </row>
        <row r="41">
          <cell r="A41" t="str">
            <v>C3M</v>
          </cell>
        </row>
        <row r="42">
          <cell r="A42" t="str">
            <v>C3S</v>
          </cell>
        </row>
        <row r="43">
          <cell r="A43" t="str">
            <v>CA</v>
          </cell>
        </row>
        <row r="44">
          <cell r="A44" t="str">
            <v>CAB</v>
          </cell>
        </row>
        <row r="45">
          <cell r="A45" t="str">
            <v>CAM</v>
          </cell>
        </row>
        <row r="46">
          <cell r="A46" t="str">
            <v>CAN</v>
          </cell>
        </row>
        <row r="47">
          <cell r="A47" t="str">
            <v>CAÑ</v>
          </cell>
        </row>
        <row r="48">
          <cell r="A48" t="str">
            <v>CAR</v>
          </cell>
        </row>
        <row r="49">
          <cell r="A49" t="str">
            <v>CAT</v>
          </cell>
        </row>
        <row r="50">
          <cell r="A50" t="str">
            <v>CD</v>
          </cell>
        </row>
        <row r="51">
          <cell r="A51" t="str">
            <v>CEN</v>
          </cell>
        </row>
        <row r="52">
          <cell r="A52" t="str">
            <v>CIR</v>
          </cell>
        </row>
        <row r="53">
          <cell r="A53" t="str">
            <v>CJ</v>
          </cell>
        </row>
        <row r="54">
          <cell r="A54" t="str">
            <v>CJN</v>
          </cell>
        </row>
        <row r="55">
          <cell r="A55" t="str">
            <v>CL</v>
          </cell>
        </row>
        <row r="56">
          <cell r="A56" t="str">
            <v>CLI</v>
          </cell>
        </row>
        <row r="57">
          <cell r="A57" t="str">
            <v>CM</v>
          </cell>
        </row>
        <row r="58">
          <cell r="A58" t="str">
            <v>CM2</v>
          </cell>
        </row>
        <row r="59">
          <cell r="A59" t="str">
            <v>CM3</v>
          </cell>
        </row>
        <row r="60">
          <cell r="A60" t="str">
            <v>CMH</v>
          </cell>
        </row>
        <row r="61">
          <cell r="A61" t="str">
            <v>CMS</v>
          </cell>
        </row>
        <row r="62">
          <cell r="A62" t="str">
            <v>CO</v>
          </cell>
        </row>
        <row r="63">
          <cell r="A63" t="str">
            <v>CTO</v>
          </cell>
        </row>
        <row r="64">
          <cell r="A64" t="str">
            <v>D</v>
          </cell>
        </row>
        <row r="65">
          <cell r="A65" t="str">
            <v>DAN</v>
          </cell>
        </row>
        <row r="66">
          <cell r="A66" t="str">
            <v>DB</v>
          </cell>
        </row>
        <row r="67">
          <cell r="A67" t="str">
            <v>DBA</v>
          </cell>
        </row>
        <row r="68">
          <cell r="A68" t="str">
            <v>DBK</v>
          </cell>
        </row>
        <row r="69">
          <cell r="A69" t="str">
            <v>DBM</v>
          </cell>
        </row>
        <row r="70">
          <cell r="A70" t="str">
            <v>DBS</v>
          </cell>
        </row>
        <row r="71">
          <cell r="A71" t="str">
            <v>DEG</v>
          </cell>
        </row>
        <row r="72">
          <cell r="A72" t="str">
            <v>DG</v>
          </cell>
        </row>
        <row r="73">
          <cell r="A73" t="str">
            <v>DÍA</v>
          </cell>
        </row>
        <row r="74">
          <cell r="A74" t="str">
            <v>DM</v>
          </cell>
        </row>
        <row r="75">
          <cell r="A75" t="str">
            <v>DM3</v>
          </cell>
        </row>
        <row r="76">
          <cell r="A76" t="str">
            <v>DNC</v>
          </cell>
        </row>
        <row r="77">
          <cell r="A77" t="str">
            <v>DNM</v>
          </cell>
        </row>
        <row r="78">
          <cell r="A78" t="str">
            <v>DOC</v>
          </cell>
        </row>
        <row r="79">
          <cell r="A79" t="str">
            <v>EML</v>
          </cell>
        </row>
        <row r="80">
          <cell r="A80" t="str">
            <v>EQU</v>
          </cell>
        </row>
        <row r="81">
          <cell r="A81" t="str">
            <v>EVN</v>
          </cell>
        </row>
        <row r="82">
          <cell r="A82" t="str">
            <v>F</v>
          </cell>
        </row>
        <row r="83">
          <cell r="A83" t="str">
            <v>FRG</v>
          </cell>
        </row>
        <row r="84">
          <cell r="A84" t="str">
            <v>FTE</v>
          </cell>
        </row>
        <row r="85">
          <cell r="A85" t="str">
            <v>G</v>
          </cell>
        </row>
        <row r="86">
          <cell r="A86" t="str">
            <v>G/L</v>
          </cell>
        </row>
        <row r="87">
          <cell r="A87" t="str">
            <v>G10</v>
          </cell>
        </row>
        <row r="88">
          <cell r="A88" t="str">
            <v>GAU</v>
          </cell>
        </row>
        <row r="89">
          <cell r="A89" t="str">
            <v>GBP</v>
          </cell>
        </row>
        <row r="90">
          <cell r="A90" t="str">
            <v>GCM</v>
          </cell>
        </row>
        <row r="91">
          <cell r="A91" t="str">
            <v>GHG</v>
          </cell>
        </row>
        <row r="92">
          <cell r="A92" t="str">
            <v>GJ</v>
          </cell>
        </row>
        <row r="93">
          <cell r="A93" t="str">
            <v>GKG</v>
          </cell>
        </row>
        <row r="94">
          <cell r="A94" t="str">
            <v>GLI</v>
          </cell>
        </row>
        <row r="95">
          <cell r="A95" t="str">
            <v>GLN</v>
          </cell>
        </row>
        <row r="96">
          <cell r="A96" t="str">
            <v>GM</v>
          </cell>
        </row>
        <row r="97">
          <cell r="A97" t="str">
            <v>GM2</v>
          </cell>
        </row>
        <row r="98">
          <cell r="A98" t="str">
            <v>GM3</v>
          </cell>
        </row>
        <row r="99">
          <cell r="A99" t="str">
            <v>GOH</v>
          </cell>
        </row>
        <row r="100">
          <cell r="A100" t="str">
            <v>GPA</v>
          </cell>
        </row>
        <row r="101">
          <cell r="A101" t="str">
            <v>GPH</v>
          </cell>
        </row>
        <row r="102">
          <cell r="A102" t="str">
            <v>GPM</v>
          </cell>
        </row>
        <row r="103">
          <cell r="A103" t="str">
            <v>GRD</v>
          </cell>
        </row>
        <row r="104">
          <cell r="A104" t="str">
            <v>GUI</v>
          </cell>
        </row>
        <row r="105">
          <cell r="A105" t="str">
            <v>H</v>
          </cell>
        </row>
        <row r="106">
          <cell r="A106" t="str">
            <v>HA</v>
          </cell>
        </row>
        <row r="107">
          <cell r="A107" t="str">
            <v>HH</v>
          </cell>
        </row>
        <row r="108">
          <cell r="A108" t="str">
            <v>HL</v>
          </cell>
        </row>
        <row r="109">
          <cell r="A109" t="str">
            <v>HPA</v>
          </cell>
        </row>
        <row r="110">
          <cell r="A110" t="str">
            <v>HRA</v>
          </cell>
        </row>
        <row r="111">
          <cell r="A111" t="str">
            <v>HZ</v>
          </cell>
        </row>
        <row r="112">
          <cell r="A112" t="str">
            <v>IMP</v>
          </cell>
        </row>
        <row r="113">
          <cell r="A113" t="str">
            <v>INS</v>
          </cell>
        </row>
        <row r="114">
          <cell r="A114" t="str">
            <v>ITX</v>
          </cell>
        </row>
        <row r="115">
          <cell r="A115" t="str">
            <v>J</v>
          </cell>
        </row>
        <row r="116">
          <cell r="A116" t="str">
            <v>JGO</v>
          </cell>
        </row>
        <row r="117">
          <cell r="A117" t="str">
            <v>JHR</v>
          </cell>
        </row>
        <row r="118">
          <cell r="A118" t="str">
            <v>JKG</v>
          </cell>
        </row>
        <row r="119">
          <cell r="A119" t="str">
            <v>JKK</v>
          </cell>
        </row>
        <row r="120">
          <cell r="A120" t="str">
            <v>JMO</v>
          </cell>
        </row>
        <row r="121">
          <cell r="A121" t="str">
            <v>JOR</v>
          </cell>
        </row>
        <row r="122">
          <cell r="A122" t="str">
            <v>K</v>
          </cell>
        </row>
        <row r="123">
          <cell r="A123" t="str">
            <v>K2M</v>
          </cell>
        </row>
        <row r="124">
          <cell r="A124" t="str">
            <v>KA</v>
          </cell>
        </row>
        <row r="125">
          <cell r="A125" t="str">
            <v>KAB</v>
          </cell>
        </row>
        <row r="126">
          <cell r="A126" t="str">
            <v>KAC</v>
          </cell>
        </row>
        <row r="127">
          <cell r="A127" t="str">
            <v>KAL</v>
          </cell>
        </row>
        <row r="128">
          <cell r="A128" t="str">
            <v>KBL</v>
          </cell>
        </row>
        <row r="129">
          <cell r="A129" t="str">
            <v>KBR</v>
          </cell>
        </row>
        <row r="130">
          <cell r="A130" t="str">
            <v>KCA</v>
          </cell>
        </row>
        <row r="131">
          <cell r="A131" t="str">
            <v>KCH</v>
          </cell>
        </row>
        <row r="132">
          <cell r="A132" t="str">
            <v>KCM</v>
          </cell>
        </row>
        <row r="133">
          <cell r="A133" t="str">
            <v>KCS</v>
          </cell>
        </row>
        <row r="134">
          <cell r="A134" t="str">
            <v>KCU</v>
          </cell>
        </row>
        <row r="135">
          <cell r="A135" t="str">
            <v>KCX</v>
          </cell>
        </row>
        <row r="136">
          <cell r="A136" t="str">
            <v>KD3</v>
          </cell>
        </row>
        <row r="137">
          <cell r="A137" t="str">
            <v>KES</v>
          </cell>
        </row>
        <row r="138">
          <cell r="A138" t="str">
            <v>KG</v>
          </cell>
        </row>
        <row r="139">
          <cell r="A139" t="str">
            <v>KGC</v>
          </cell>
        </row>
        <row r="140">
          <cell r="A140" t="str">
            <v>KGF</v>
          </cell>
        </row>
        <row r="141">
          <cell r="A141" t="str">
            <v>KGK</v>
          </cell>
        </row>
        <row r="142">
          <cell r="A142" t="str">
            <v>KGM</v>
          </cell>
        </row>
        <row r="143">
          <cell r="A143" t="str">
            <v>KGP</v>
          </cell>
        </row>
        <row r="144">
          <cell r="A144" t="str">
            <v>KGS</v>
          </cell>
        </row>
        <row r="145">
          <cell r="A145" t="str">
            <v>KGU</v>
          </cell>
        </row>
        <row r="146">
          <cell r="A146" t="str">
            <v>KGV</v>
          </cell>
        </row>
        <row r="147">
          <cell r="A147" t="str">
            <v>KHZ</v>
          </cell>
        </row>
        <row r="148">
          <cell r="A148" t="str">
            <v>KJ</v>
          </cell>
        </row>
        <row r="149">
          <cell r="A149" t="str">
            <v>KJK</v>
          </cell>
        </row>
        <row r="150">
          <cell r="A150" t="str">
            <v>KJM</v>
          </cell>
        </row>
        <row r="151">
          <cell r="A151" t="str">
            <v>KM</v>
          </cell>
        </row>
        <row r="152">
          <cell r="A152" t="str">
            <v>KM2</v>
          </cell>
        </row>
        <row r="153">
          <cell r="A153" t="str">
            <v>KMH</v>
          </cell>
        </row>
        <row r="154">
          <cell r="A154" t="str">
            <v>KMK</v>
          </cell>
        </row>
        <row r="155">
          <cell r="A155" t="str">
            <v>KML</v>
          </cell>
        </row>
        <row r="156">
          <cell r="A156" t="str">
            <v>KMM</v>
          </cell>
        </row>
        <row r="157">
          <cell r="A157" t="str">
            <v>KMN</v>
          </cell>
        </row>
        <row r="158">
          <cell r="A158" t="str">
            <v>KMS</v>
          </cell>
        </row>
        <row r="159">
          <cell r="A159" t="str">
            <v>KN</v>
          </cell>
        </row>
        <row r="160">
          <cell r="A160" t="str">
            <v>KOH</v>
          </cell>
        </row>
        <row r="161">
          <cell r="A161" t="str">
            <v>KPA</v>
          </cell>
        </row>
        <row r="162">
          <cell r="A162" t="str">
            <v>KPB</v>
          </cell>
        </row>
        <row r="163">
          <cell r="A163" t="str">
            <v>KPL</v>
          </cell>
        </row>
        <row r="164">
          <cell r="A164" t="str">
            <v>KPP</v>
          </cell>
        </row>
        <row r="165">
          <cell r="A165" t="str">
            <v>KPT</v>
          </cell>
        </row>
        <row r="166">
          <cell r="A166" t="str">
            <v>KRA</v>
          </cell>
        </row>
        <row r="167">
          <cell r="A167" t="str">
            <v>KRS</v>
          </cell>
        </row>
        <row r="168">
          <cell r="A168" t="str">
            <v>KSN</v>
          </cell>
        </row>
        <row r="169">
          <cell r="A169" t="str">
            <v>KT</v>
          </cell>
        </row>
        <row r="170">
          <cell r="A170" t="str">
            <v>KTL</v>
          </cell>
        </row>
        <row r="171">
          <cell r="A171" t="str">
            <v>KV</v>
          </cell>
        </row>
        <row r="172">
          <cell r="A172" t="str">
            <v>KVA</v>
          </cell>
        </row>
        <row r="173">
          <cell r="A173" t="str">
            <v>KW</v>
          </cell>
        </row>
        <row r="174">
          <cell r="A174" t="str">
            <v>KWH</v>
          </cell>
        </row>
        <row r="175">
          <cell r="A175" t="str">
            <v>KWK</v>
          </cell>
        </row>
        <row r="176">
          <cell r="A176" t="str">
            <v>KZN</v>
          </cell>
        </row>
        <row r="177">
          <cell r="A177" t="str">
            <v>L</v>
          </cell>
        </row>
        <row r="178">
          <cell r="A178" t="str">
            <v>LB</v>
          </cell>
        </row>
        <row r="179">
          <cell r="A179" t="str">
            <v>LCK</v>
          </cell>
        </row>
        <row r="180">
          <cell r="A180" t="str">
            <v>LIC</v>
          </cell>
        </row>
        <row r="181">
          <cell r="A181" t="str">
            <v>LIN</v>
          </cell>
        </row>
        <row r="182">
          <cell r="A182" t="str">
            <v>LIT</v>
          </cell>
        </row>
        <row r="183">
          <cell r="A183" t="str">
            <v>LMI</v>
          </cell>
        </row>
        <row r="184">
          <cell r="A184" t="str">
            <v>LMS</v>
          </cell>
        </row>
        <row r="185">
          <cell r="A185" t="str">
            <v>LPH</v>
          </cell>
        </row>
        <row r="186">
          <cell r="A186" t="str">
            <v>M</v>
          </cell>
        </row>
        <row r="187">
          <cell r="A187" t="str">
            <v>M%</v>
          </cell>
        </row>
        <row r="188">
          <cell r="A188" t="str">
            <v>M%O</v>
          </cell>
        </row>
        <row r="189">
          <cell r="A189" t="str">
            <v>M/L</v>
          </cell>
        </row>
        <row r="190">
          <cell r="A190" t="str">
            <v>M/M</v>
          </cell>
        </row>
        <row r="191">
          <cell r="A191" t="str">
            <v>M/S</v>
          </cell>
        </row>
        <row r="192">
          <cell r="A192" t="str">
            <v>M2</v>
          </cell>
        </row>
        <row r="193">
          <cell r="A193" t="str">
            <v>M-2</v>
          </cell>
        </row>
        <row r="194">
          <cell r="A194" t="str">
            <v>M2S</v>
          </cell>
        </row>
        <row r="195">
          <cell r="A195" t="str">
            <v>M3</v>
          </cell>
        </row>
        <row r="196">
          <cell r="A196" t="str">
            <v>M3H</v>
          </cell>
        </row>
        <row r="197">
          <cell r="A197" t="str">
            <v>M3S</v>
          </cell>
        </row>
        <row r="198">
          <cell r="A198" t="str">
            <v>MA</v>
          </cell>
        </row>
        <row r="199">
          <cell r="A199" t="str">
            <v>MB</v>
          </cell>
        </row>
        <row r="200">
          <cell r="A200" t="str">
            <v>MBA</v>
          </cell>
        </row>
        <row r="201">
          <cell r="A201" t="str">
            <v>MBP</v>
          </cell>
        </row>
        <row r="202">
          <cell r="A202" t="str">
            <v>MBT</v>
          </cell>
        </row>
        <row r="203">
          <cell r="A203" t="str">
            <v>MBY</v>
          </cell>
        </row>
        <row r="204">
          <cell r="A204" t="str">
            <v>MCO</v>
          </cell>
        </row>
        <row r="205">
          <cell r="A205" t="str">
            <v>MEJ</v>
          </cell>
        </row>
        <row r="206">
          <cell r="A206" t="str">
            <v>MFA</v>
          </cell>
        </row>
        <row r="207">
          <cell r="A207" t="str">
            <v>MG</v>
          </cell>
        </row>
        <row r="208">
          <cell r="A208" t="str">
            <v>MGC</v>
          </cell>
        </row>
        <row r="209">
          <cell r="A209" t="str">
            <v>MGG</v>
          </cell>
        </row>
        <row r="210">
          <cell r="A210" t="str">
            <v>MGK</v>
          </cell>
        </row>
        <row r="211">
          <cell r="A211" t="str">
            <v>MGL</v>
          </cell>
        </row>
        <row r="212">
          <cell r="A212" t="str">
            <v>MGO</v>
          </cell>
        </row>
        <row r="213">
          <cell r="A213" t="str">
            <v>MGS</v>
          </cell>
        </row>
        <row r="214">
          <cell r="A214" t="str">
            <v>MGV</v>
          </cell>
        </row>
        <row r="215">
          <cell r="A215" t="str">
            <v>MGW</v>
          </cell>
        </row>
        <row r="216">
          <cell r="A216" t="str">
            <v>MH</v>
          </cell>
        </row>
        <row r="217">
          <cell r="A217" t="str">
            <v>MHZ</v>
          </cell>
        </row>
        <row r="218">
          <cell r="A218" t="str">
            <v>MI</v>
          </cell>
        </row>
        <row r="219">
          <cell r="A219" t="str">
            <v>MI2</v>
          </cell>
        </row>
        <row r="220">
          <cell r="A220" t="str">
            <v>MIN</v>
          </cell>
        </row>
        <row r="221">
          <cell r="A221" t="str">
            <v>MIS</v>
          </cell>
        </row>
        <row r="222">
          <cell r="A222" t="str">
            <v>MJ</v>
          </cell>
        </row>
        <row r="223">
          <cell r="A223" t="str">
            <v>ML</v>
          </cell>
        </row>
        <row r="224">
          <cell r="A224" t="str">
            <v>MLF</v>
          </cell>
        </row>
        <row r="225">
          <cell r="A225" t="str">
            <v>MLG</v>
          </cell>
        </row>
        <row r="226">
          <cell r="A226" t="str">
            <v>MLI</v>
          </cell>
        </row>
        <row r="227">
          <cell r="A227" t="str">
            <v>MLS</v>
          </cell>
        </row>
        <row r="228">
          <cell r="A228" t="str">
            <v>MLW</v>
          </cell>
        </row>
        <row r="229">
          <cell r="A229" t="str">
            <v>MM</v>
          </cell>
        </row>
        <row r="230">
          <cell r="A230" t="str">
            <v>MM2</v>
          </cell>
        </row>
        <row r="231">
          <cell r="A231" t="str">
            <v>MM3</v>
          </cell>
        </row>
        <row r="232">
          <cell r="A232" t="str">
            <v>MMA</v>
          </cell>
        </row>
        <row r="233">
          <cell r="A233" t="str">
            <v>MMG</v>
          </cell>
        </row>
        <row r="234">
          <cell r="A234" t="str">
            <v>MMH</v>
          </cell>
        </row>
        <row r="235">
          <cell r="A235" t="str">
            <v>MMK</v>
          </cell>
        </row>
        <row r="236">
          <cell r="A236" t="str">
            <v>MMO</v>
          </cell>
        </row>
        <row r="237">
          <cell r="A237" t="str">
            <v>MMS</v>
          </cell>
        </row>
        <row r="238">
          <cell r="A238" t="str">
            <v>MN</v>
          </cell>
        </row>
        <row r="239">
          <cell r="A239" t="str">
            <v>MNM</v>
          </cell>
        </row>
        <row r="240">
          <cell r="A240" t="str">
            <v>MNT</v>
          </cell>
        </row>
        <row r="241">
          <cell r="A241" t="str">
            <v>MOH</v>
          </cell>
        </row>
        <row r="242">
          <cell r="A242" t="str">
            <v>MOK</v>
          </cell>
        </row>
        <row r="243">
          <cell r="A243" t="str">
            <v>MOL</v>
          </cell>
        </row>
        <row r="244">
          <cell r="A244" t="str">
            <v>MON</v>
          </cell>
        </row>
        <row r="245">
          <cell r="A245" t="str">
            <v>MOT</v>
          </cell>
        </row>
        <row r="246">
          <cell r="A246" t="str">
            <v>MPA</v>
          </cell>
        </row>
        <row r="247">
          <cell r="A247" t="str">
            <v>MPB</v>
          </cell>
        </row>
        <row r="248">
          <cell r="A248" t="str">
            <v>MPM</v>
          </cell>
        </row>
        <row r="249">
          <cell r="A249" t="str">
            <v>MPS</v>
          </cell>
        </row>
        <row r="250">
          <cell r="A250" t="str">
            <v>MPT</v>
          </cell>
        </row>
        <row r="251">
          <cell r="A251" t="str">
            <v>MPZ</v>
          </cell>
        </row>
        <row r="252">
          <cell r="A252" t="str">
            <v>MS</v>
          </cell>
        </row>
        <row r="253">
          <cell r="A253" t="str">
            <v>MS2</v>
          </cell>
        </row>
        <row r="254">
          <cell r="A254" t="str">
            <v>MSC</v>
          </cell>
        </row>
        <row r="255">
          <cell r="A255" t="str">
            <v>MTE</v>
          </cell>
        </row>
        <row r="256">
          <cell r="A256" t="str">
            <v>MV</v>
          </cell>
        </row>
        <row r="257">
          <cell r="A257" t="str">
            <v>MVA</v>
          </cell>
        </row>
        <row r="258">
          <cell r="A258" t="str">
            <v>MW</v>
          </cell>
        </row>
        <row r="259">
          <cell r="A259" t="str">
            <v>MWH</v>
          </cell>
        </row>
        <row r="260">
          <cell r="A260" t="str">
            <v>N</v>
          </cell>
        </row>
        <row r="261">
          <cell r="A261" t="str">
            <v>N/M</v>
          </cell>
        </row>
        <row r="262">
          <cell r="A262" t="str">
            <v>NA</v>
          </cell>
        </row>
        <row r="263">
          <cell r="A263" t="str">
            <v>NAM</v>
          </cell>
        </row>
        <row r="264">
          <cell r="A264" t="str">
            <v>NF</v>
          </cell>
        </row>
        <row r="265">
          <cell r="A265" t="str">
            <v>NFK</v>
          </cell>
        </row>
        <row r="266">
          <cell r="A266" t="str">
            <v>NMM</v>
          </cell>
        </row>
        <row r="267">
          <cell r="A267" t="str">
            <v>NMP</v>
          </cell>
        </row>
        <row r="268">
          <cell r="A268" t="str">
            <v>NR</v>
          </cell>
        </row>
        <row r="269">
          <cell r="A269" t="str">
            <v>NS</v>
          </cell>
        </row>
        <row r="270">
          <cell r="A270" t="str">
            <v>OCM</v>
          </cell>
        </row>
        <row r="271">
          <cell r="A271" t="str">
            <v>OHM</v>
          </cell>
        </row>
        <row r="272">
          <cell r="A272" t="str">
            <v>OKM</v>
          </cell>
        </row>
        <row r="273">
          <cell r="A273" t="str">
            <v>OUL</v>
          </cell>
        </row>
        <row r="274">
          <cell r="A274" t="str">
            <v>OZ</v>
          </cell>
        </row>
        <row r="275">
          <cell r="A275" t="str">
            <v>OZL</v>
          </cell>
        </row>
        <row r="276">
          <cell r="A276" t="str">
            <v>P</v>
          </cell>
        </row>
        <row r="277">
          <cell r="A277" t="str">
            <v>PA</v>
          </cell>
        </row>
        <row r="278">
          <cell r="A278" t="str">
            <v>PAA</v>
          </cell>
        </row>
        <row r="279">
          <cell r="A279" t="str">
            <v>PAL</v>
          </cell>
        </row>
        <row r="280">
          <cell r="A280" t="str">
            <v>PAS</v>
          </cell>
        </row>
        <row r="281">
          <cell r="A281" t="str">
            <v>PAT</v>
          </cell>
        </row>
        <row r="282">
          <cell r="A282" t="str">
            <v>PER</v>
          </cell>
        </row>
        <row r="283">
          <cell r="A283" t="str">
            <v>PF</v>
          </cell>
        </row>
        <row r="284">
          <cell r="A284" t="str">
            <v>PFK</v>
          </cell>
        </row>
        <row r="285">
          <cell r="A285" t="str">
            <v>PI2</v>
          </cell>
        </row>
        <row r="286">
          <cell r="A286" t="str">
            <v>PI3</v>
          </cell>
        </row>
        <row r="287">
          <cell r="A287" t="str">
            <v>PIE</v>
          </cell>
        </row>
        <row r="288">
          <cell r="A288" t="str">
            <v>PK</v>
          </cell>
        </row>
        <row r="289">
          <cell r="A289" t="str">
            <v>PMI</v>
          </cell>
        </row>
        <row r="290">
          <cell r="A290" t="str">
            <v>POS</v>
          </cell>
        </row>
        <row r="291">
          <cell r="A291" t="str">
            <v>PPB</v>
          </cell>
        </row>
        <row r="292">
          <cell r="A292" t="str">
            <v>PPM</v>
          </cell>
        </row>
        <row r="293">
          <cell r="A293" t="str">
            <v>PPT</v>
          </cell>
        </row>
        <row r="294">
          <cell r="A294" t="str">
            <v>PRS</v>
          </cell>
        </row>
        <row r="295">
          <cell r="A295" t="str">
            <v>PS</v>
          </cell>
        </row>
        <row r="296">
          <cell r="A296" t="str">
            <v>PT</v>
          </cell>
        </row>
        <row r="297">
          <cell r="A297" t="str">
            <v>PUL</v>
          </cell>
        </row>
        <row r="298">
          <cell r="A298" t="str">
            <v>REG</v>
          </cell>
        </row>
        <row r="299">
          <cell r="A299" t="str">
            <v>REH</v>
          </cell>
        </row>
        <row r="300">
          <cell r="A300" t="str">
            <v>RES</v>
          </cell>
        </row>
        <row r="301">
          <cell r="A301" t="str">
            <v>RET</v>
          </cell>
        </row>
        <row r="302">
          <cell r="A302" t="str">
            <v>RHO</v>
          </cell>
        </row>
        <row r="303">
          <cell r="A303" t="str">
            <v>ROL</v>
          </cell>
        </row>
        <row r="304">
          <cell r="A304" t="str">
            <v>RS</v>
          </cell>
        </row>
        <row r="305">
          <cell r="A305" t="str">
            <v>S</v>
          </cell>
        </row>
        <row r="306">
          <cell r="A306" t="str">
            <v>S16</v>
          </cell>
        </row>
        <row r="307">
          <cell r="A307" t="str">
            <v>S64</v>
          </cell>
        </row>
        <row r="308">
          <cell r="A308" t="str">
            <v>SER</v>
          </cell>
        </row>
        <row r="309">
          <cell r="A309" t="str">
            <v>SEV</v>
          </cell>
        </row>
        <row r="310">
          <cell r="A310" t="str">
            <v>SGA</v>
          </cell>
        </row>
        <row r="311">
          <cell r="A311" t="str">
            <v>SOP</v>
          </cell>
        </row>
        <row r="312">
          <cell r="A312" t="str">
            <v>SUS</v>
          </cell>
        </row>
        <row r="313">
          <cell r="A313" t="str">
            <v>T</v>
          </cell>
        </row>
        <row r="314">
          <cell r="A314" t="str">
            <v>TC3</v>
          </cell>
        </row>
        <row r="315">
          <cell r="A315" t="str">
            <v>TES</v>
          </cell>
        </row>
        <row r="316">
          <cell r="A316" t="str">
            <v>TF</v>
          </cell>
        </row>
        <row r="317">
          <cell r="A317" t="str">
            <v>TLN</v>
          </cell>
        </row>
        <row r="318">
          <cell r="A318" t="str">
            <v>TM3</v>
          </cell>
        </row>
        <row r="319">
          <cell r="A319" t="str">
            <v>TOM</v>
          </cell>
        </row>
        <row r="320">
          <cell r="A320" t="str">
            <v>TON</v>
          </cell>
        </row>
        <row r="321">
          <cell r="A321" t="str">
            <v>TR</v>
          </cell>
        </row>
        <row r="322">
          <cell r="A322" t="str">
            <v>TRA</v>
          </cell>
        </row>
        <row r="323">
          <cell r="A323" t="str">
            <v>TRI</v>
          </cell>
        </row>
        <row r="324">
          <cell r="A324" t="str">
            <v>TRS</v>
          </cell>
        </row>
        <row r="325">
          <cell r="A325" t="str">
            <v>TS</v>
          </cell>
        </row>
        <row r="326">
          <cell r="A326" t="str">
            <v>TUP</v>
          </cell>
        </row>
        <row r="327">
          <cell r="A327" t="str">
            <v>TV</v>
          </cell>
        </row>
        <row r="328">
          <cell r="A328" t="str">
            <v>UNI</v>
          </cell>
        </row>
        <row r="329">
          <cell r="A329" t="str">
            <v>UNM</v>
          </cell>
        </row>
        <row r="330">
          <cell r="A330" t="str">
            <v>UNO</v>
          </cell>
        </row>
        <row r="331">
          <cell r="A331" t="str">
            <v>UP</v>
          </cell>
        </row>
        <row r="332">
          <cell r="A332" t="str">
            <v>UTA</v>
          </cell>
        </row>
        <row r="333">
          <cell r="A333" t="str">
            <v>UTB</v>
          </cell>
        </row>
        <row r="334">
          <cell r="A334" t="str">
            <v>UTC</v>
          </cell>
        </row>
        <row r="335">
          <cell r="A335" t="str">
            <v>UTD</v>
          </cell>
        </row>
        <row r="336">
          <cell r="A336" t="str">
            <v>UTE</v>
          </cell>
        </row>
        <row r="337">
          <cell r="A337" t="str">
            <v>UTF</v>
          </cell>
        </row>
        <row r="338">
          <cell r="A338" t="str">
            <v>UTG</v>
          </cell>
        </row>
        <row r="339">
          <cell r="A339" t="str">
            <v>UTH</v>
          </cell>
        </row>
        <row r="340">
          <cell r="A340" t="str">
            <v>UTI</v>
          </cell>
        </row>
        <row r="341">
          <cell r="A341" t="str">
            <v>UTJ</v>
          </cell>
        </row>
        <row r="342">
          <cell r="A342" t="str">
            <v>UTK</v>
          </cell>
        </row>
        <row r="343">
          <cell r="A343" t="str">
            <v>UTÑ</v>
          </cell>
        </row>
        <row r="344">
          <cell r="A344" t="str">
            <v>UTP</v>
          </cell>
        </row>
        <row r="345">
          <cell r="A345" t="str">
            <v>UTQ</v>
          </cell>
        </row>
        <row r="346">
          <cell r="A346" t="str">
            <v>UTR</v>
          </cell>
        </row>
        <row r="347">
          <cell r="A347" t="str">
            <v>UTS</v>
          </cell>
        </row>
        <row r="348">
          <cell r="A348" t="str">
            <v>UTT</v>
          </cell>
        </row>
        <row r="349">
          <cell r="A349" t="str">
            <v>UTU</v>
          </cell>
        </row>
        <row r="350">
          <cell r="A350" t="str">
            <v>UTV</v>
          </cell>
        </row>
        <row r="351">
          <cell r="A351" t="str">
            <v>UTW</v>
          </cell>
        </row>
        <row r="352">
          <cell r="A352" t="str">
            <v>UTX</v>
          </cell>
        </row>
        <row r="353">
          <cell r="A353" t="str">
            <v>UTY</v>
          </cell>
        </row>
        <row r="354">
          <cell r="A354" t="str">
            <v>UTZ</v>
          </cell>
        </row>
        <row r="355">
          <cell r="A355" t="str">
            <v>V</v>
          </cell>
        </row>
        <row r="356">
          <cell r="A356" t="str">
            <v>V%</v>
          </cell>
        </row>
        <row r="357">
          <cell r="A357" t="str">
            <v>V%O</v>
          </cell>
        </row>
        <row r="358">
          <cell r="A358" t="str">
            <v>VA</v>
          </cell>
        </row>
        <row r="359">
          <cell r="A359" t="str">
            <v>VAL</v>
          </cell>
        </row>
        <row r="360">
          <cell r="A360" t="str">
            <v>VPB</v>
          </cell>
        </row>
        <row r="361">
          <cell r="A361" t="str">
            <v>VPM</v>
          </cell>
        </row>
        <row r="362">
          <cell r="A362" t="str">
            <v>VPT</v>
          </cell>
        </row>
        <row r="363">
          <cell r="A363" t="str">
            <v>VTA</v>
          </cell>
        </row>
        <row r="364">
          <cell r="A364" t="str">
            <v>W</v>
          </cell>
        </row>
        <row r="365">
          <cell r="A365" t="str">
            <v>WCH</v>
          </cell>
        </row>
        <row r="366">
          <cell r="A366" t="str">
            <v>WMK</v>
          </cell>
        </row>
        <row r="367">
          <cell r="A367" t="str">
            <v>WTL</v>
          </cell>
        </row>
        <row r="368">
          <cell r="A368" t="str">
            <v>YD</v>
          </cell>
        </row>
        <row r="369">
          <cell r="A369" t="str">
            <v>YD2</v>
          </cell>
        </row>
        <row r="370">
          <cell r="A370" t="str">
            <v>YD3</v>
          </cell>
        </row>
      </sheetData>
      <sheetData sheetId="5">
        <row r="1">
          <cell r="A1" t="str">
            <v>Incoterms</v>
          </cell>
        </row>
        <row r="2">
          <cell r="A2" t="str">
            <v xml:space="preserve"> </v>
          </cell>
        </row>
        <row r="3">
          <cell r="A3" t="str">
            <v>FOB</v>
          </cell>
        </row>
        <row r="4">
          <cell r="A4" t="str">
            <v>CFR</v>
          </cell>
        </row>
        <row r="5">
          <cell r="A5" t="str">
            <v>CIF</v>
          </cell>
        </row>
        <row r="6">
          <cell r="A6" t="str">
            <v>EXW</v>
          </cell>
        </row>
        <row r="7">
          <cell r="A7" t="str">
            <v>FAS</v>
          </cell>
        </row>
        <row r="8">
          <cell r="A8" t="str">
            <v>FCA</v>
          </cell>
        </row>
        <row r="9">
          <cell r="A9" t="str">
            <v>DDP</v>
          </cell>
        </row>
        <row r="10">
          <cell r="A10" t="str">
            <v>CPT</v>
          </cell>
        </row>
        <row r="11">
          <cell r="A11" t="str">
            <v>CIP</v>
          </cell>
        </row>
        <row r="12">
          <cell r="A12" t="str">
            <v>DAT</v>
          </cell>
        </row>
        <row r="13">
          <cell r="A13" t="str">
            <v>DAP</v>
          </cell>
        </row>
      </sheetData>
      <sheetData sheetId="6"/>
      <sheetData sheetId="7">
        <row r="1">
          <cell r="A1" t="str">
            <v>Payment Terms</v>
          </cell>
        </row>
        <row r="2">
          <cell r="A2" t="str">
            <v>Viernes sig. luego de 60 días (SRMPF03)</v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</sheetData>
      <sheetData sheetId="8"/>
      <sheetData sheetId="9"/>
      <sheetData sheetId="10"/>
      <sheetData sheetId="11">
        <row r="1">
          <cell r="A1" t="str">
            <v>Budget Years</v>
          </cell>
        </row>
        <row r="2">
          <cell r="A2">
            <v>2015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  <sheetName val="old_FEA_OMC"/>
      <sheetName val="Input variable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  <sheetName val="parameters"/>
      <sheetName val="J-AP SP calculation"/>
      <sheetName val="J-AS MW DB"/>
      <sheetName val="para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G14" sqref="G14"/>
    </sheetView>
  </sheetViews>
  <sheetFormatPr baseColWidth="10" defaultColWidth="9.33203125" defaultRowHeight="14.4"/>
  <cols>
    <col min="2" max="2" width="40.33203125" customWidth="1"/>
    <col min="3" max="3" width="17" customWidth="1"/>
  </cols>
  <sheetData>
    <row r="1" spans="2:3" ht="15" thickBot="1"/>
    <row r="2" spans="2:3" ht="15" thickBot="1">
      <c r="B2" s="175" t="s">
        <v>295</v>
      </c>
      <c r="C2" s="176"/>
    </row>
    <row r="3" spans="2:3">
      <c r="B3" s="84" t="str">
        <f>+'Presupuesto Noc Transporte'!B9</f>
        <v>OBRAS PROVISIONALES Y PRELIMINARES</v>
      </c>
      <c r="C3" s="81">
        <f>+'Presupuesto Noc Transporte'!G9</f>
        <v>50909.930162499993</v>
      </c>
    </row>
    <row r="4" spans="2:3">
      <c r="B4" s="85" t="str">
        <f>+'Presupuesto Noc Transporte'!B30</f>
        <v>ESTRUCTURAS</v>
      </c>
      <c r="C4" s="80">
        <f>+'Presupuesto Noc Transporte'!G30</f>
        <v>117700.299</v>
      </c>
    </row>
    <row r="5" spans="2:3">
      <c r="B5" s="85" t="str">
        <f>+'Presupuesto Noc Transporte'!B70</f>
        <v>ARQUITECTURA</v>
      </c>
      <c r="C5" s="80">
        <f>+'Presupuesto Noc Transporte'!G70</f>
        <v>119644.70600000001</v>
      </c>
    </row>
    <row r="6" spans="2:3">
      <c r="B6" s="85" t="str">
        <f>+'Presupuesto Noc Transporte'!B135</f>
        <v>INSTALACIONES SANITARIAS</v>
      </c>
      <c r="C6" s="80">
        <f>+'Presupuesto Noc Transporte'!G135</f>
        <v>11064.57</v>
      </c>
    </row>
    <row r="7" spans="2:3">
      <c r="B7" s="85" t="str">
        <f>+'Presupuesto Noc Transporte'!B161</f>
        <v>INSTALACIONES ELECTRICAS</v>
      </c>
      <c r="C7" s="80">
        <f>+'Presupuesto Noc Transporte'!G161</f>
        <v>27847.269</v>
      </c>
    </row>
    <row r="8" spans="2:3">
      <c r="B8" s="86" t="str">
        <f>+'Presupuesto Noc Transporte'!B204</f>
        <v>DETECCION, INTRUSION Y CCTV</v>
      </c>
      <c r="C8" s="82">
        <f>+'Presupuesto Noc Transporte'!G204</f>
        <v>880.21400000000006</v>
      </c>
    </row>
    <row r="9" spans="2:3">
      <c r="B9" s="160" t="str">
        <f>'Presupuesto Noc Transporte'!B206</f>
        <v>AIRE ACONDICIONADO</v>
      </c>
      <c r="C9" s="161">
        <f>'Presupuesto Noc Transporte'!G206</f>
        <v>810.59999999999991</v>
      </c>
    </row>
    <row r="10" spans="2:3">
      <c r="B10" s="160" t="str">
        <f>'Presupuesto Noc Transporte'!B208</f>
        <v>EXTERIOR</v>
      </c>
      <c r="C10" s="161">
        <f>'Presupuesto Noc Transporte'!G208</f>
        <v>7500</v>
      </c>
    </row>
    <row r="11" spans="2:3" ht="15" thickBot="1">
      <c r="B11" s="160" t="s">
        <v>236</v>
      </c>
      <c r="C11" s="161">
        <f>'Presupuesto Noc Transporte'!G210</f>
        <v>25500</v>
      </c>
    </row>
    <row r="12" spans="2:3" ht="15" thickBot="1">
      <c r="B12" s="83" t="s">
        <v>260</v>
      </c>
      <c r="C12" s="89">
        <f>SUM(C3:C11)</f>
        <v>361857.5881625</v>
      </c>
    </row>
    <row r="13" spans="2:3" ht="15" thickBot="1">
      <c r="B13" s="86" t="s">
        <v>730</v>
      </c>
      <c r="C13" s="159">
        <f>C12*0.225</f>
        <v>81417.957336562496</v>
      </c>
    </row>
    <row r="14" spans="2:3" ht="15" thickBot="1">
      <c r="B14" s="87" t="s">
        <v>211</v>
      </c>
      <c r="C14" s="88">
        <f>SUM(C12:C13)</f>
        <v>443275.54549906251</v>
      </c>
    </row>
    <row r="15" spans="2:3">
      <c r="B15" s="160" t="s">
        <v>731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rgb="FFFFFFCC"/>
    <pageSetUpPr fitToPage="1"/>
  </sheetPr>
  <dimension ref="A1:P225"/>
  <sheetViews>
    <sheetView tabSelected="1" view="pageBreakPreview" zoomScale="80" zoomScaleNormal="46" zoomScaleSheetLayoutView="80" workbookViewId="0">
      <selection activeCell="A3" sqref="A3"/>
    </sheetView>
  </sheetViews>
  <sheetFormatPr baseColWidth="10" defaultColWidth="11.5546875" defaultRowHeight="13.8"/>
  <cols>
    <col min="1" max="1" width="9.33203125" style="64" bestFit="1" customWidth="1"/>
    <col min="2" max="2" width="75.6640625" style="59" customWidth="1"/>
    <col min="3" max="3" width="7.5546875" style="59" customWidth="1"/>
    <col min="4" max="4" width="11.6640625" style="59" customWidth="1"/>
    <col min="5" max="5" width="11.44140625" style="59" bestFit="1" customWidth="1"/>
    <col min="6" max="6" width="12" style="65" customWidth="1"/>
    <col min="7" max="7" width="15.33203125" style="65" customWidth="1"/>
    <col min="8" max="8" width="49.44140625" style="65" customWidth="1"/>
    <col min="9" max="9" width="29.6640625" style="59" customWidth="1"/>
    <col min="10" max="10" width="13.6640625" style="59" customWidth="1"/>
    <col min="11" max="11" width="16.6640625" style="65" customWidth="1"/>
    <col min="12" max="12" width="15.44140625" style="65" customWidth="1"/>
    <col min="13" max="13" width="18.6640625" style="62" customWidth="1"/>
    <col min="14" max="14" width="18.6640625" style="59" customWidth="1"/>
    <col min="15" max="15" width="28.44140625" style="59" bestFit="1" customWidth="1"/>
    <col min="16" max="16384" width="11.5546875" style="59"/>
  </cols>
  <sheetData>
    <row r="1" spans="1:13">
      <c r="A1" s="58"/>
      <c r="B1" s="60"/>
      <c r="C1" s="60"/>
      <c r="D1" s="60"/>
      <c r="E1" s="60"/>
      <c r="F1" s="61"/>
      <c r="G1" s="61"/>
      <c r="H1" s="61"/>
      <c r="I1" s="60"/>
      <c r="J1" s="60"/>
      <c r="K1" s="61"/>
      <c r="L1" s="61"/>
    </row>
    <row r="2" spans="1:13" ht="18">
      <c r="A2" s="178" t="s">
        <v>743</v>
      </c>
      <c r="B2" s="179"/>
      <c r="C2" s="179"/>
      <c r="D2" s="179"/>
      <c r="E2" s="179"/>
      <c r="F2" s="179"/>
      <c r="G2" s="180"/>
      <c r="H2" s="61"/>
      <c r="I2" s="60"/>
      <c r="J2" s="60"/>
      <c r="K2" s="61"/>
      <c r="L2" s="61"/>
    </row>
    <row r="3" spans="1:13">
      <c r="A3" s="58"/>
      <c r="B3" s="60"/>
      <c r="C3" s="60"/>
      <c r="D3" s="60"/>
      <c r="E3" s="60"/>
      <c r="F3" s="61"/>
      <c r="G3" s="61"/>
      <c r="H3" s="61"/>
      <c r="I3" s="60"/>
      <c r="J3" s="60"/>
      <c r="K3" s="61"/>
      <c r="L3" s="61"/>
    </row>
    <row r="4" spans="1:13" ht="14.4">
      <c r="A4" s="182" t="s">
        <v>299</v>
      </c>
      <c r="B4" s="183"/>
      <c r="C4" s="183" t="s">
        <v>301</v>
      </c>
      <c r="D4" s="183"/>
      <c r="E4" s="92" t="s">
        <v>742</v>
      </c>
      <c r="F4" s="185"/>
      <c r="G4" s="186"/>
      <c r="H4" s="61"/>
      <c r="I4" s="60"/>
      <c r="J4" s="60"/>
      <c r="K4" s="61"/>
      <c r="L4" s="61"/>
    </row>
    <row r="5" spans="1:13" ht="14.4">
      <c r="A5" s="182" t="s">
        <v>300</v>
      </c>
      <c r="B5" s="183"/>
      <c r="C5" s="183" t="s">
        <v>296</v>
      </c>
      <c r="D5" s="183"/>
      <c r="E5" s="91"/>
      <c r="F5" s="187"/>
      <c r="G5" s="188"/>
      <c r="H5" s="61"/>
      <c r="I5" s="60"/>
      <c r="J5" s="60"/>
      <c r="K5" s="61"/>
      <c r="L5" s="61"/>
    </row>
    <row r="6" spans="1:13" ht="14.4">
      <c r="A6" s="182" t="s">
        <v>298</v>
      </c>
      <c r="B6" s="183"/>
      <c r="C6" s="183" t="s">
        <v>297</v>
      </c>
      <c r="D6" s="183"/>
      <c r="E6" s="93"/>
      <c r="F6" s="189"/>
      <c r="G6" s="190"/>
      <c r="H6" s="61"/>
      <c r="I6" s="60"/>
      <c r="J6" s="60"/>
      <c r="K6" s="61"/>
      <c r="L6" s="61"/>
    </row>
    <row r="7" spans="1:13">
      <c r="A7" s="58"/>
      <c r="B7" s="60"/>
      <c r="C7" s="60"/>
      <c r="D7" s="60"/>
      <c r="E7" s="60"/>
      <c r="F7" s="61"/>
      <c r="G7" s="61"/>
      <c r="H7" s="61"/>
      <c r="I7" s="60"/>
      <c r="J7" s="60"/>
      <c r="K7" s="61"/>
      <c r="L7" s="61"/>
    </row>
    <row r="8" spans="1:13">
      <c r="A8" s="109" t="s">
        <v>0</v>
      </c>
      <c r="B8" s="110" t="s">
        <v>207</v>
      </c>
      <c r="C8" s="111" t="s">
        <v>208</v>
      </c>
      <c r="D8" s="111" t="s">
        <v>209</v>
      </c>
      <c r="E8" s="111" t="s">
        <v>210</v>
      </c>
      <c r="F8" s="112" t="s">
        <v>1</v>
      </c>
      <c r="G8" s="112" t="s">
        <v>211</v>
      </c>
      <c r="H8" s="60"/>
      <c r="K8" s="59"/>
      <c r="L8" s="59"/>
      <c r="M8" s="59"/>
    </row>
    <row r="9" spans="1:13">
      <c r="A9" s="94">
        <v>1</v>
      </c>
      <c r="B9" s="95" t="s">
        <v>212</v>
      </c>
      <c r="C9" s="96"/>
      <c r="D9" s="97"/>
      <c r="E9" s="97"/>
      <c r="F9" s="98"/>
      <c r="G9" s="99">
        <f>SUM(G10:G24)</f>
        <v>50909.930162499993</v>
      </c>
      <c r="H9" s="60"/>
      <c r="K9" s="59"/>
      <c r="L9" s="59"/>
      <c r="M9" s="59"/>
    </row>
    <row r="10" spans="1:13">
      <c r="A10" s="67">
        <v>1.1000000000000001</v>
      </c>
      <c r="B10" s="66" t="s">
        <v>213</v>
      </c>
      <c r="C10" s="66"/>
      <c r="D10" s="67"/>
      <c r="E10" s="73"/>
      <c r="F10" s="74"/>
      <c r="G10" s="74">
        <f>SUM(F11:F12)</f>
        <v>8300</v>
      </c>
      <c r="H10" s="60"/>
      <c r="K10" s="59"/>
      <c r="L10" s="59"/>
      <c r="M10" s="59"/>
    </row>
    <row r="11" spans="1:13">
      <c r="A11" s="58" t="s">
        <v>302</v>
      </c>
      <c r="B11" s="60" t="s">
        <v>214</v>
      </c>
      <c r="C11" s="57" t="s">
        <v>215</v>
      </c>
      <c r="D11" s="58">
        <v>1</v>
      </c>
      <c r="E11" s="75">
        <v>5800</v>
      </c>
      <c r="F11" s="76">
        <f>+D11*E11</f>
        <v>5800</v>
      </c>
      <c r="G11" s="76"/>
      <c r="H11" s="60"/>
      <c r="K11" s="59"/>
      <c r="L11" s="59"/>
      <c r="M11" s="59"/>
    </row>
    <row r="12" spans="1:13">
      <c r="A12" s="58" t="s">
        <v>303</v>
      </c>
      <c r="B12" s="60" t="s">
        <v>416</v>
      </c>
      <c r="C12" s="57" t="s">
        <v>216</v>
      </c>
      <c r="D12" s="58">
        <v>1</v>
      </c>
      <c r="E12" s="75">
        <v>2500</v>
      </c>
      <c r="F12" s="76">
        <f>+D12*E12</f>
        <v>2500</v>
      </c>
      <c r="G12" s="76"/>
      <c r="H12" s="60"/>
      <c r="K12" s="59"/>
      <c r="L12" s="59"/>
      <c r="M12" s="59"/>
    </row>
    <row r="13" spans="1:13">
      <c r="A13" s="67">
        <v>1.2</v>
      </c>
      <c r="B13" s="66" t="s">
        <v>217</v>
      </c>
      <c r="C13" s="68"/>
      <c r="D13" s="67"/>
      <c r="E13" s="73"/>
      <c r="F13" s="74"/>
      <c r="G13" s="74">
        <f>SUM(F14:F23)</f>
        <v>29315.780162499999</v>
      </c>
      <c r="H13" s="60"/>
      <c r="K13" s="59"/>
      <c r="L13" s="59"/>
      <c r="M13" s="59"/>
    </row>
    <row r="14" spans="1:13">
      <c r="A14" s="58" t="s">
        <v>304</v>
      </c>
      <c r="B14" s="60" t="s">
        <v>695</v>
      </c>
      <c r="C14" s="57" t="s">
        <v>252</v>
      </c>
      <c r="D14" s="58">
        <v>15</v>
      </c>
      <c r="E14" s="75">
        <v>80</v>
      </c>
      <c r="F14" s="76">
        <f t="shared" ref="F14:F33" si="0">+D14*E14</f>
        <v>1200</v>
      </c>
      <c r="G14" s="76"/>
      <c r="H14" s="60"/>
      <c r="K14" s="59"/>
      <c r="L14" s="59"/>
      <c r="M14" s="59"/>
    </row>
    <row r="15" spans="1:13">
      <c r="A15" s="58" t="s">
        <v>305</v>
      </c>
      <c r="B15" s="116" t="s">
        <v>726</v>
      </c>
      <c r="C15" s="57" t="s">
        <v>413</v>
      </c>
      <c r="D15" s="58">
        <v>3</v>
      </c>
      <c r="E15" s="75">
        <v>500</v>
      </c>
      <c r="F15" s="76">
        <f t="shared" si="0"/>
        <v>1500</v>
      </c>
      <c r="G15" s="76"/>
      <c r="H15" s="60"/>
      <c r="K15" s="59"/>
      <c r="L15" s="59"/>
      <c r="M15" s="59"/>
    </row>
    <row r="16" spans="1:13">
      <c r="A16" s="58" t="s">
        <v>306</v>
      </c>
      <c r="B16" s="116" t="s">
        <v>417</v>
      </c>
      <c r="C16" s="57" t="s">
        <v>413</v>
      </c>
      <c r="D16" s="58">
        <v>3</v>
      </c>
      <c r="E16" s="75">
        <v>2200</v>
      </c>
      <c r="F16" s="76">
        <f t="shared" si="0"/>
        <v>6600</v>
      </c>
      <c r="G16" s="76"/>
      <c r="H16" s="60"/>
      <c r="K16" s="59"/>
      <c r="L16" s="59"/>
      <c r="M16" s="59"/>
    </row>
    <row r="17" spans="1:13">
      <c r="A17" s="58" t="s">
        <v>307</v>
      </c>
      <c r="B17" s="60" t="s">
        <v>218</v>
      </c>
      <c r="C17" s="57" t="s">
        <v>216</v>
      </c>
      <c r="D17" s="58">
        <v>1</v>
      </c>
      <c r="E17" s="75">
        <v>2195</v>
      </c>
      <c r="F17" s="76">
        <f t="shared" si="0"/>
        <v>2195</v>
      </c>
      <c r="G17" s="76"/>
      <c r="H17" s="60"/>
      <c r="K17" s="59"/>
      <c r="L17" s="59"/>
      <c r="M17" s="59"/>
    </row>
    <row r="18" spans="1:13">
      <c r="A18" s="58" t="s">
        <v>308</v>
      </c>
      <c r="B18" s="60" t="s">
        <v>219</v>
      </c>
      <c r="C18" s="57" t="s">
        <v>216</v>
      </c>
      <c r="D18" s="58">
        <v>1</v>
      </c>
      <c r="E18" s="75">
        <v>2950</v>
      </c>
      <c r="F18" s="76">
        <f t="shared" si="0"/>
        <v>2950</v>
      </c>
      <c r="G18" s="76"/>
      <c r="H18" s="60"/>
      <c r="K18" s="59"/>
      <c r="L18" s="59"/>
      <c r="M18" s="59"/>
    </row>
    <row r="19" spans="1:13">
      <c r="A19" s="58" t="s">
        <v>309</v>
      </c>
      <c r="B19" s="60" t="s">
        <v>267</v>
      </c>
      <c r="C19" s="57" t="s">
        <v>220</v>
      </c>
      <c r="D19" s="58">
        <f>+((179.93)*1.95/2)*0.6*1.05</f>
        <v>110.52200249999999</v>
      </c>
      <c r="E19" s="75">
        <v>65</v>
      </c>
      <c r="F19" s="76">
        <f t="shared" si="0"/>
        <v>7183.9301624999989</v>
      </c>
      <c r="G19" s="76"/>
      <c r="H19" s="60"/>
      <c r="K19" s="59"/>
      <c r="L19" s="59"/>
      <c r="M19" s="59"/>
    </row>
    <row r="20" spans="1:13">
      <c r="A20" s="58" t="s">
        <v>412</v>
      </c>
      <c r="B20" s="60" t="s">
        <v>221</v>
      </c>
      <c r="C20" s="57" t="s">
        <v>222</v>
      </c>
      <c r="D20" s="58">
        <v>245.79</v>
      </c>
      <c r="E20" s="75">
        <v>12</v>
      </c>
      <c r="F20" s="76">
        <f t="shared" si="0"/>
        <v>2949.48</v>
      </c>
      <c r="G20" s="76"/>
      <c r="H20" s="60"/>
      <c r="K20" s="59"/>
      <c r="L20" s="59"/>
      <c r="M20" s="59"/>
    </row>
    <row r="21" spans="1:13">
      <c r="A21" s="58" t="s">
        <v>415</v>
      </c>
      <c r="B21" s="60" t="s">
        <v>223</v>
      </c>
      <c r="C21" s="57" t="s">
        <v>222</v>
      </c>
      <c r="D21" s="58">
        <v>245.79</v>
      </c>
      <c r="E21" s="75">
        <v>3</v>
      </c>
      <c r="F21" s="76">
        <f t="shared" si="0"/>
        <v>737.37</v>
      </c>
      <c r="G21" s="76"/>
      <c r="H21" s="60"/>
      <c r="K21" s="59"/>
      <c r="L21" s="59"/>
      <c r="M21" s="59"/>
    </row>
    <row r="22" spans="1:13">
      <c r="A22" s="58" t="s">
        <v>418</v>
      </c>
      <c r="B22" s="60" t="s">
        <v>414</v>
      </c>
      <c r="C22" s="57" t="s">
        <v>216</v>
      </c>
      <c r="D22" s="58">
        <v>1</v>
      </c>
      <c r="E22" s="75">
        <v>1500</v>
      </c>
      <c r="F22" s="76">
        <f t="shared" si="0"/>
        <v>1500</v>
      </c>
      <c r="G22" s="76"/>
      <c r="H22" s="60"/>
      <c r="K22" s="59"/>
      <c r="L22" s="59"/>
      <c r="M22" s="59"/>
    </row>
    <row r="23" spans="1:13">
      <c r="A23" s="58" t="s">
        <v>420</v>
      </c>
      <c r="B23" s="60" t="s">
        <v>419</v>
      </c>
      <c r="C23" s="57" t="s">
        <v>216</v>
      </c>
      <c r="D23" s="58">
        <v>1</v>
      </c>
      <c r="E23" s="75">
        <v>2500</v>
      </c>
      <c r="F23" s="76">
        <f t="shared" ref="F23" si="1">+D23*E23</f>
        <v>2500</v>
      </c>
      <c r="G23" s="76"/>
      <c r="H23" s="60"/>
      <c r="K23" s="59"/>
      <c r="L23" s="59"/>
      <c r="M23" s="59"/>
    </row>
    <row r="24" spans="1:13" s="168" customFormat="1">
      <c r="A24" s="162">
        <v>1.3</v>
      </c>
      <c r="B24" s="163" t="s">
        <v>224</v>
      </c>
      <c r="C24" s="164"/>
      <c r="D24" s="162"/>
      <c r="E24" s="165"/>
      <c r="F24" s="166"/>
      <c r="G24" s="166">
        <f>SUM(F25:F29)</f>
        <v>13294.149999999998</v>
      </c>
      <c r="H24" s="167"/>
    </row>
    <row r="25" spans="1:13">
      <c r="A25" s="58" t="s">
        <v>310</v>
      </c>
      <c r="B25" s="60" t="s">
        <v>225</v>
      </c>
      <c r="C25" s="57" t="s">
        <v>220</v>
      </c>
      <c r="D25" s="58">
        <v>6.24</v>
      </c>
      <c r="E25" s="75">
        <v>45</v>
      </c>
      <c r="F25" s="76">
        <f t="shared" si="0"/>
        <v>280.8</v>
      </c>
      <c r="G25" s="76"/>
      <c r="H25" s="60"/>
      <c r="K25" s="59"/>
      <c r="L25" s="59"/>
      <c r="M25" s="59"/>
    </row>
    <row r="26" spans="1:13" s="168" customFormat="1">
      <c r="A26" s="170" t="s">
        <v>311</v>
      </c>
      <c r="B26" s="167" t="s">
        <v>226</v>
      </c>
      <c r="C26" s="171" t="s">
        <v>220</v>
      </c>
      <c r="D26" s="170">
        <v>82.6</v>
      </c>
      <c r="E26" s="157">
        <v>45</v>
      </c>
      <c r="F26" s="172">
        <f t="shared" si="0"/>
        <v>3716.9999999999995</v>
      </c>
      <c r="G26" s="172"/>
      <c r="H26" s="167"/>
    </row>
    <row r="27" spans="1:13" s="168" customFormat="1">
      <c r="A27" s="170" t="s">
        <v>312</v>
      </c>
      <c r="B27" s="167" t="s">
        <v>696</v>
      </c>
      <c r="C27" s="171" t="s">
        <v>220</v>
      </c>
      <c r="D27" s="170">
        <v>50.99</v>
      </c>
      <c r="E27" s="157">
        <v>25</v>
      </c>
      <c r="F27" s="172">
        <f t="shared" si="0"/>
        <v>1274.75</v>
      </c>
      <c r="G27" s="172"/>
      <c r="H27" s="167"/>
    </row>
    <row r="28" spans="1:13" s="168" customFormat="1">
      <c r="A28" s="170" t="s">
        <v>313</v>
      </c>
      <c r="B28" s="167" t="s">
        <v>697</v>
      </c>
      <c r="C28" s="171" t="s">
        <v>220</v>
      </c>
      <c r="D28" s="170">
        <v>49.18</v>
      </c>
      <c r="E28" s="157">
        <v>110</v>
      </c>
      <c r="F28" s="172">
        <f t="shared" si="0"/>
        <v>5409.8</v>
      </c>
      <c r="G28" s="172"/>
      <c r="H28" s="167"/>
    </row>
    <row r="29" spans="1:13" s="168" customFormat="1">
      <c r="A29" s="170" t="s">
        <v>363</v>
      </c>
      <c r="B29" s="167" t="s">
        <v>698</v>
      </c>
      <c r="C29" s="171" t="s">
        <v>220</v>
      </c>
      <c r="D29" s="173">
        <v>43.53</v>
      </c>
      <c r="E29" s="157">
        <v>60</v>
      </c>
      <c r="F29" s="172">
        <f t="shared" si="0"/>
        <v>2611.8000000000002</v>
      </c>
      <c r="G29" s="172"/>
      <c r="H29" s="167"/>
    </row>
    <row r="30" spans="1:13">
      <c r="A30" s="106">
        <v>2</v>
      </c>
      <c r="B30" s="100" t="s">
        <v>294</v>
      </c>
      <c r="C30" s="101"/>
      <c r="D30" s="102"/>
      <c r="E30" s="103"/>
      <c r="F30" s="104"/>
      <c r="G30" s="105">
        <f>SUM(G31:G66)</f>
        <v>117700.299</v>
      </c>
      <c r="H30" s="60"/>
      <c r="K30" s="59"/>
      <c r="L30" s="59"/>
      <c r="M30" s="59"/>
    </row>
    <row r="31" spans="1:13">
      <c r="A31" s="71">
        <v>2.1</v>
      </c>
      <c r="B31" s="69" t="s">
        <v>227</v>
      </c>
      <c r="C31" s="70"/>
      <c r="D31" s="71"/>
      <c r="E31" s="77"/>
      <c r="F31" s="78"/>
      <c r="G31" s="78">
        <f>SUM(F32:F34)</f>
        <v>11442.6</v>
      </c>
      <c r="H31" s="60"/>
      <c r="K31" s="59"/>
      <c r="L31" s="59"/>
      <c r="M31" s="59"/>
    </row>
    <row r="32" spans="1:13">
      <c r="A32" s="58" t="s">
        <v>410</v>
      </c>
      <c r="B32" s="60" t="s">
        <v>699</v>
      </c>
      <c r="C32" s="57" t="s">
        <v>222</v>
      </c>
      <c r="D32" s="58">
        <v>9.5399999999999991</v>
      </c>
      <c r="E32" s="75">
        <v>25</v>
      </c>
      <c r="F32" s="76">
        <f t="shared" si="0"/>
        <v>238.49999999999997</v>
      </c>
      <c r="G32" s="76"/>
      <c r="H32" s="60"/>
      <c r="K32" s="59"/>
      <c r="L32" s="59"/>
      <c r="M32" s="59"/>
    </row>
    <row r="33" spans="1:13">
      <c r="A33" s="58" t="s">
        <v>411</v>
      </c>
      <c r="B33" s="60" t="s">
        <v>700</v>
      </c>
      <c r="C33" s="57" t="s">
        <v>220</v>
      </c>
      <c r="D33" s="58">
        <v>4.8099999999999996</v>
      </c>
      <c r="E33" s="75">
        <v>250</v>
      </c>
      <c r="F33" s="76">
        <f t="shared" si="0"/>
        <v>1202.5</v>
      </c>
      <c r="G33" s="76"/>
      <c r="H33" s="60"/>
      <c r="K33" s="59"/>
      <c r="L33" s="59"/>
      <c r="M33" s="59"/>
    </row>
    <row r="34" spans="1:13">
      <c r="A34" s="58" t="s">
        <v>411</v>
      </c>
      <c r="B34" s="60" t="s">
        <v>727</v>
      </c>
      <c r="C34" s="57" t="s">
        <v>220</v>
      </c>
      <c r="D34" s="58">
        <v>35.72</v>
      </c>
      <c r="E34" s="75">
        <v>280</v>
      </c>
      <c r="F34" s="76">
        <f t="shared" ref="F34" si="2">+D34*E34</f>
        <v>10001.6</v>
      </c>
      <c r="G34" s="76"/>
      <c r="H34" s="60"/>
      <c r="K34" s="59"/>
      <c r="L34" s="59"/>
      <c r="M34" s="59"/>
    </row>
    <row r="35" spans="1:13">
      <c r="A35" s="67">
        <v>2.2000000000000002</v>
      </c>
      <c r="B35" s="69" t="s">
        <v>228</v>
      </c>
      <c r="C35" s="70"/>
      <c r="D35" s="71"/>
      <c r="E35" s="77"/>
      <c r="F35" s="78"/>
      <c r="G35" s="59"/>
      <c r="H35" s="60"/>
      <c r="K35" s="59"/>
      <c r="L35" s="59"/>
      <c r="M35" s="59"/>
    </row>
    <row r="36" spans="1:13">
      <c r="A36" s="67" t="s">
        <v>314</v>
      </c>
      <c r="B36" s="66" t="s">
        <v>2</v>
      </c>
      <c r="C36" s="57"/>
      <c r="D36" s="58"/>
      <c r="E36" s="75"/>
      <c r="F36" s="76"/>
      <c r="G36" s="74">
        <f>SUM(F37:F39)</f>
        <v>2191.9279999999999</v>
      </c>
      <c r="H36" s="60"/>
      <c r="K36" s="59"/>
      <c r="L36" s="59"/>
      <c r="M36" s="59"/>
    </row>
    <row r="37" spans="1:13">
      <c r="A37" s="58" t="s">
        <v>315</v>
      </c>
      <c r="B37" s="60" t="s">
        <v>229</v>
      </c>
      <c r="C37" s="57" t="s">
        <v>220</v>
      </c>
      <c r="D37" s="58">
        <v>2.4</v>
      </c>
      <c r="E37" s="75">
        <v>430</v>
      </c>
      <c r="F37" s="76">
        <f t="shared" ref="F37:F69" si="3">+D37*E37</f>
        <v>1032</v>
      </c>
      <c r="G37" s="76"/>
      <c r="H37" s="60"/>
      <c r="K37" s="59"/>
      <c r="L37" s="59"/>
      <c r="M37" s="59"/>
    </row>
    <row r="38" spans="1:13">
      <c r="A38" s="58" t="s">
        <v>316</v>
      </c>
      <c r="B38" s="60" t="s">
        <v>701</v>
      </c>
      <c r="C38" s="57" t="s">
        <v>3</v>
      </c>
      <c r="D38" s="58">
        <v>203.62</v>
      </c>
      <c r="E38" s="75">
        <v>4.4000000000000004</v>
      </c>
      <c r="F38" s="76">
        <f t="shared" si="3"/>
        <v>895.92800000000011</v>
      </c>
      <c r="G38" s="76"/>
      <c r="H38" s="60"/>
      <c r="K38" s="59"/>
      <c r="L38" s="59"/>
      <c r="M38" s="59"/>
    </row>
    <row r="39" spans="1:13">
      <c r="A39" s="58" t="s">
        <v>317</v>
      </c>
      <c r="B39" s="60" t="s">
        <v>230</v>
      </c>
      <c r="C39" s="57" t="s">
        <v>222</v>
      </c>
      <c r="D39" s="58">
        <v>8.8000000000000007</v>
      </c>
      <c r="E39" s="75">
        <v>30</v>
      </c>
      <c r="F39" s="76">
        <f t="shared" si="3"/>
        <v>264</v>
      </c>
      <c r="G39" s="76"/>
      <c r="H39" s="60"/>
      <c r="K39" s="59"/>
      <c r="L39" s="59"/>
      <c r="M39" s="59"/>
    </row>
    <row r="40" spans="1:13">
      <c r="A40" s="67" t="s">
        <v>318</v>
      </c>
      <c r="B40" s="69" t="s">
        <v>702</v>
      </c>
      <c r="C40" s="70"/>
      <c r="D40" s="71"/>
      <c r="E40" s="77"/>
      <c r="F40" s="78"/>
      <c r="G40" s="59">
        <f>SUM(F41:F44)</f>
        <v>28969.172000000002</v>
      </c>
      <c r="H40" s="60"/>
      <c r="K40" s="59"/>
      <c r="L40" s="59"/>
      <c r="M40" s="59"/>
    </row>
    <row r="41" spans="1:13">
      <c r="A41" s="58" t="s">
        <v>319</v>
      </c>
      <c r="B41" s="60" t="s">
        <v>229</v>
      </c>
      <c r="C41" s="57" t="s">
        <v>220</v>
      </c>
      <c r="D41" s="58">
        <v>22.66</v>
      </c>
      <c r="E41" s="75">
        <v>430</v>
      </c>
      <c r="F41" s="76">
        <f t="shared" si="3"/>
        <v>9743.7999999999993</v>
      </c>
      <c r="G41" s="76"/>
      <c r="H41" s="60"/>
      <c r="K41" s="59"/>
      <c r="L41" s="59"/>
      <c r="M41" s="59"/>
    </row>
    <row r="42" spans="1:13">
      <c r="A42" s="58" t="s">
        <v>320</v>
      </c>
      <c r="B42" s="60" t="s">
        <v>701</v>
      </c>
      <c r="C42" s="57" t="s">
        <v>3</v>
      </c>
      <c r="D42" s="58">
        <v>2250.38</v>
      </c>
      <c r="E42" s="75">
        <v>4.4000000000000004</v>
      </c>
      <c r="F42" s="76">
        <f t="shared" si="3"/>
        <v>9901.6720000000005</v>
      </c>
      <c r="G42" s="76"/>
      <c r="H42" s="60"/>
      <c r="K42" s="59"/>
      <c r="L42" s="59"/>
      <c r="M42" s="59"/>
    </row>
    <row r="43" spans="1:13">
      <c r="A43" s="58" t="s">
        <v>321</v>
      </c>
      <c r="B43" s="60" t="s">
        <v>230</v>
      </c>
      <c r="C43" s="57" t="s">
        <v>222</v>
      </c>
      <c r="D43" s="58">
        <v>297.63</v>
      </c>
      <c r="E43" s="75">
        <v>30</v>
      </c>
      <c r="F43" s="76">
        <f t="shared" si="3"/>
        <v>8928.9</v>
      </c>
      <c r="G43" s="76"/>
      <c r="H43" s="60"/>
      <c r="K43" s="59"/>
      <c r="L43" s="59"/>
      <c r="M43" s="59"/>
    </row>
    <row r="44" spans="1:13">
      <c r="A44" s="58" t="s">
        <v>321</v>
      </c>
      <c r="B44" s="60" t="s">
        <v>703</v>
      </c>
      <c r="C44" s="57" t="s">
        <v>21</v>
      </c>
      <c r="D44" s="58">
        <v>1.41</v>
      </c>
      <c r="E44" s="75">
        <v>280</v>
      </c>
      <c r="F44" s="76">
        <f t="shared" ref="F44" si="4">+D44*E44</f>
        <v>394.79999999999995</v>
      </c>
      <c r="G44" s="76"/>
      <c r="H44" s="60"/>
      <c r="K44" s="59"/>
      <c r="L44" s="59"/>
      <c r="M44" s="59"/>
    </row>
    <row r="45" spans="1:13" s="63" customFormat="1">
      <c r="A45" s="67" t="s">
        <v>364</v>
      </c>
      <c r="B45" s="66" t="s">
        <v>5</v>
      </c>
      <c r="C45" s="68"/>
      <c r="D45" s="67"/>
      <c r="E45" s="73"/>
      <c r="F45" s="74"/>
      <c r="G45" s="74">
        <f>SUM(F46:F48)</f>
        <v>23957.451999999997</v>
      </c>
      <c r="H45" s="60"/>
    </row>
    <row r="46" spans="1:13">
      <c r="A46" s="58" t="s">
        <v>365</v>
      </c>
      <c r="B46" s="60" t="s">
        <v>229</v>
      </c>
      <c r="C46" s="57" t="s">
        <v>220</v>
      </c>
      <c r="D46" s="58">
        <v>12.41</v>
      </c>
      <c r="E46" s="75">
        <v>430</v>
      </c>
      <c r="F46" s="76">
        <f t="shared" si="3"/>
        <v>5336.3</v>
      </c>
      <c r="G46" s="76"/>
      <c r="H46" s="60"/>
      <c r="K46" s="59"/>
      <c r="L46" s="59"/>
      <c r="M46" s="59"/>
    </row>
    <row r="47" spans="1:13">
      <c r="A47" s="58" t="s">
        <v>366</v>
      </c>
      <c r="B47" s="60" t="s">
        <v>701</v>
      </c>
      <c r="C47" s="57" t="s">
        <v>3</v>
      </c>
      <c r="D47" s="58">
        <v>2329.83</v>
      </c>
      <c r="E47" s="75">
        <v>4.4000000000000004</v>
      </c>
      <c r="F47" s="76">
        <f t="shared" si="3"/>
        <v>10251.252</v>
      </c>
      <c r="G47" s="76"/>
      <c r="H47" s="60"/>
      <c r="K47" s="59"/>
      <c r="L47" s="59"/>
      <c r="M47" s="59"/>
    </row>
    <row r="48" spans="1:13">
      <c r="A48" s="58" t="s">
        <v>367</v>
      </c>
      <c r="B48" s="60" t="s">
        <v>230</v>
      </c>
      <c r="C48" s="57" t="s">
        <v>222</v>
      </c>
      <c r="D48" s="58">
        <v>152.18</v>
      </c>
      <c r="E48" s="75">
        <v>55</v>
      </c>
      <c r="F48" s="76">
        <f t="shared" si="3"/>
        <v>8369.9</v>
      </c>
      <c r="G48" s="76"/>
      <c r="H48" s="60"/>
      <c r="K48" s="59"/>
      <c r="L48" s="59"/>
      <c r="M48" s="59"/>
    </row>
    <row r="49" spans="1:13" s="63" customFormat="1">
      <c r="A49" s="67" t="s">
        <v>368</v>
      </c>
      <c r="B49" s="66" t="s">
        <v>263</v>
      </c>
      <c r="C49" s="68"/>
      <c r="D49" s="67"/>
      <c r="E49" s="73"/>
      <c r="F49" s="74"/>
      <c r="G49" s="74">
        <f>SUM(F50:F52)</f>
        <v>21619.131999999998</v>
      </c>
      <c r="H49" s="60"/>
    </row>
    <row r="50" spans="1:13">
      <c r="A50" s="58" t="s">
        <v>369</v>
      </c>
      <c r="B50" s="60" t="s">
        <v>229</v>
      </c>
      <c r="C50" s="57" t="s">
        <v>220</v>
      </c>
      <c r="D50" s="58">
        <v>13.35</v>
      </c>
      <c r="E50" s="75">
        <v>430</v>
      </c>
      <c r="F50" s="76">
        <f t="shared" ref="F50:F52" si="5">+D50*E50</f>
        <v>5740.5</v>
      </c>
      <c r="G50" s="76"/>
      <c r="H50" s="60"/>
      <c r="K50" s="59"/>
      <c r="L50" s="59"/>
      <c r="M50" s="59"/>
    </row>
    <row r="51" spans="1:13">
      <c r="A51" s="58" t="s">
        <v>370</v>
      </c>
      <c r="B51" s="60" t="s">
        <v>701</v>
      </c>
      <c r="C51" s="57" t="s">
        <v>3</v>
      </c>
      <c r="D51" s="58">
        <v>1650.28</v>
      </c>
      <c r="E51" s="75">
        <v>4.4000000000000004</v>
      </c>
      <c r="F51" s="76">
        <f t="shared" si="5"/>
        <v>7261.2320000000009</v>
      </c>
      <c r="G51" s="76"/>
      <c r="H51" s="60"/>
      <c r="K51" s="59"/>
      <c r="L51" s="59"/>
      <c r="M51" s="59"/>
    </row>
    <row r="52" spans="1:13">
      <c r="A52" s="58" t="s">
        <v>371</v>
      </c>
      <c r="B52" s="60" t="s">
        <v>230</v>
      </c>
      <c r="C52" s="57" t="s">
        <v>222</v>
      </c>
      <c r="D52" s="58">
        <v>156.68</v>
      </c>
      <c r="E52" s="75">
        <v>55</v>
      </c>
      <c r="F52" s="76">
        <f t="shared" si="5"/>
        <v>8617.4</v>
      </c>
      <c r="G52" s="76"/>
      <c r="H52" s="60"/>
      <c r="K52" s="59"/>
      <c r="L52" s="59"/>
      <c r="M52" s="59"/>
    </row>
    <row r="53" spans="1:13" s="63" customFormat="1">
      <c r="A53" s="67" t="s">
        <v>372</v>
      </c>
      <c r="B53" s="66" t="s">
        <v>264</v>
      </c>
      <c r="C53" s="68"/>
      <c r="D53" s="67"/>
      <c r="E53" s="73"/>
      <c r="F53" s="74"/>
      <c r="G53" s="74">
        <f>SUM(F54:F57)</f>
        <v>16777.287</v>
      </c>
      <c r="H53" s="60"/>
    </row>
    <row r="54" spans="1:13">
      <c r="A54" s="58" t="s">
        <v>373</v>
      </c>
      <c r="B54" s="60" t="s">
        <v>229</v>
      </c>
      <c r="C54" s="57" t="s">
        <v>220</v>
      </c>
      <c r="D54" s="58">
        <v>11.03</v>
      </c>
      <c r="E54" s="75">
        <v>430</v>
      </c>
      <c r="F54" s="76">
        <f t="shared" ref="F54:F57" si="6">+D54*E54</f>
        <v>4742.8999999999996</v>
      </c>
      <c r="G54" s="76"/>
      <c r="H54" s="60"/>
      <c r="K54" s="59"/>
      <c r="L54" s="59"/>
      <c r="M54" s="59"/>
    </row>
    <row r="55" spans="1:13">
      <c r="A55" s="58" t="s">
        <v>374</v>
      </c>
      <c r="B55" s="60" t="s">
        <v>701</v>
      </c>
      <c r="C55" s="57" t="s">
        <v>3</v>
      </c>
      <c r="D55" s="58">
        <v>568.48</v>
      </c>
      <c r="E55" s="75">
        <v>4.4000000000000004</v>
      </c>
      <c r="F55" s="76">
        <f t="shared" si="6"/>
        <v>2501.3120000000004</v>
      </c>
      <c r="G55" s="76"/>
      <c r="H55" s="60"/>
      <c r="K55" s="59"/>
      <c r="L55" s="59"/>
      <c r="M55" s="59"/>
    </row>
    <row r="56" spans="1:13">
      <c r="A56" s="58" t="s">
        <v>375</v>
      </c>
      <c r="B56" s="60" t="s">
        <v>230</v>
      </c>
      <c r="C56" s="57" t="s">
        <v>222</v>
      </c>
      <c r="D56" s="58">
        <v>125.85</v>
      </c>
      <c r="E56" s="75">
        <v>55</v>
      </c>
      <c r="F56" s="76">
        <f t="shared" si="6"/>
        <v>6921.75</v>
      </c>
      <c r="G56" s="76"/>
      <c r="H56" s="60"/>
      <c r="K56" s="59"/>
      <c r="L56" s="59"/>
      <c r="M56" s="59"/>
    </row>
    <row r="57" spans="1:13">
      <c r="A57" s="58" t="s">
        <v>376</v>
      </c>
      <c r="B57" s="60" t="s">
        <v>265</v>
      </c>
      <c r="C57" s="57" t="s">
        <v>30</v>
      </c>
      <c r="D57" s="58">
        <v>1044.53</v>
      </c>
      <c r="E57" s="75">
        <v>2.5</v>
      </c>
      <c r="F57" s="76">
        <f t="shared" si="6"/>
        <v>2611.3249999999998</v>
      </c>
      <c r="G57" s="76"/>
      <c r="H57" s="60"/>
      <c r="K57" s="59"/>
      <c r="L57" s="59"/>
      <c r="M57" s="59"/>
    </row>
    <row r="58" spans="1:13" s="63" customFormat="1">
      <c r="A58" s="67" t="s">
        <v>377</v>
      </c>
      <c r="B58" s="66" t="s">
        <v>266</v>
      </c>
      <c r="C58" s="68"/>
      <c r="D58" s="67"/>
      <c r="E58" s="73"/>
      <c r="F58" s="74"/>
      <c r="G58" s="74">
        <f>SUM(F59:F61)</f>
        <v>714.92</v>
      </c>
      <c r="H58" s="60"/>
    </row>
    <row r="59" spans="1:13">
      <c r="A59" s="58" t="s">
        <v>378</v>
      </c>
      <c r="B59" s="60" t="s">
        <v>229</v>
      </c>
      <c r="C59" s="57" t="s">
        <v>220</v>
      </c>
      <c r="D59" s="58">
        <v>0.8</v>
      </c>
      <c r="E59" s="75">
        <v>430</v>
      </c>
      <c r="F59" s="76">
        <f t="shared" ref="F59:F61" si="7">+D59*E59</f>
        <v>344</v>
      </c>
      <c r="G59" s="76"/>
      <c r="H59" s="60"/>
      <c r="K59" s="59"/>
      <c r="L59" s="59"/>
      <c r="M59" s="59"/>
    </row>
    <row r="60" spans="1:13">
      <c r="A60" s="58" t="s">
        <v>379</v>
      </c>
      <c r="B60" s="60" t="s">
        <v>701</v>
      </c>
      <c r="C60" s="57" t="s">
        <v>3</v>
      </c>
      <c r="D60" s="58">
        <v>32.049999999999997</v>
      </c>
      <c r="E60" s="75">
        <v>4.4000000000000004</v>
      </c>
      <c r="F60" s="76">
        <f t="shared" si="7"/>
        <v>141.02000000000001</v>
      </c>
      <c r="G60" s="76"/>
      <c r="H60" s="60"/>
      <c r="K60" s="59"/>
      <c r="L60" s="59"/>
      <c r="M60" s="59"/>
    </row>
    <row r="61" spans="1:13">
      <c r="A61" s="58" t="s">
        <v>380</v>
      </c>
      <c r="B61" s="60" t="s">
        <v>230</v>
      </c>
      <c r="C61" s="57" t="s">
        <v>222</v>
      </c>
      <c r="D61" s="58">
        <v>4.18</v>
      </c>
      <c r="E61" s="75">
        <v>55</v>
      </c>
      <c r="F61" s="76">
        <f t="shared" si="7"/>
        <v>229.89999999999998</v>
      </c>
      <c r="G61" s="76"/>
      <c r="H61" s="60"/>
      <c r="K61" s="59"/>
      <c r="L61" s="59"/>
      <c r="M61" s="59"/>
    </row>
    <row r="62" spans="1:13" s="63" customFormat="1">
      <c r="A62" s="67" t="s">
        <v>381</v>
      </c>
      <c r="B62" s="66" t="s">
        <v>7</v>
      </c>
      <c r="C62" s="68"/>
      <c r="D62" s="67"/>
      <c r="E62" s="73"/>
      <c r="F62" s="74"/>
      <c r="G62" s="74">
        <f>SUM(F63:F65)</f>
        <v>6001.7280000000001</v>
      </c>
      <c r="H62" s="60"/>
    </row>
    <row r="63" spans="1:13">
      <c r="A63" s="58" t="s">
        <v>383</v>
      </c>
      <c r="B63" s="60" t="s">
        <v>229</v>
      </c>
      <c r="C63" s="57" t="s">
        <v>220</v>
      </c>
      <c r="D63" s="58">
        <v>6.53</v>
      </c>
      <c r="E63" s="75">
        <v>430</v>
      </c>
      <c r="F63" s="76">
        <f t="shared" si="3"/>
        <v>2807.9</v>
      </c>
      <c r="G63" s="76"/>
      <c r="H63" s="60"/>
      <c r="K63" s="59"/>
      <c r="L63" s="59"/>
      <c r="M63" s="59"/>
    </row>
    <row r="64" spans="1:13">
      <c r="A64" s="58" t="s">
        <v>384</v>
      </c>
      <c r="B64" s="60" t="s">
        <v>701</v>
      </c>
      <c r="C64" s="57" t="s">
        <v>3</v>
      </c>
      <c r="D64" s="58">
        <v>362.87</v>
      </c>
      <c r="E64" s="75">
        <v>4.4000000000000004</v>
      </c>
      <c r="F64" s="76">
        <f t="shared" si="3"/>
        <v>1596.6280000000002</v>
      </c>
      <c r="G64" s="76"/>
      <c r="H64" s="60"/>
      <c r="K64" s="59"/>
      <c r="L64" s="59"/>
      <c r="M64" s="59"/>
    </row>
    <row r="65" spans="1:13">
      <c r="A65" s="58" t="s">
        <v>385</v>
      </c>
      <c r="B65" s="60" t="s">
        <v>230</v>
      </c>
      <c r="C65" s="57" t="s">
        <v>222</v>
      </c>
      <c r="D65" s="58">
        <v>29.04</v>
      </c>
      <c r="E65" s="75">
        <v>55</v>
      </c>
      <c r="F65" s="76">
        <f t="shared" si="3"/>
        <v>1597.2</v>
      </c>
      <c r="G65" s="76"/>
      <c r="H65" s="60"/>
      <c r="K65" s="59"/>
      <c r="L65" s="59"/>
      <c r="M65" s="59"/>
    </row>
    <row r="66" spans="1:13" s="63" customFormat="1">
      <c r="A66" s="67" t="s">
        <v>382</v>
      </c>
      <c r="B66" s="66" t="s">
        <v>653</v>
      </c>
      <c r="C66" s="68"/>
      <c r="D66" s="67"/>
      <c r="E66" s="73"/>
      <c r="F66" s="74"/>
      <c r="G66" s="74">
        <f>SUM(F67:F69)</f>
        <v>6026.08</v>
      </c>
      <c r="H66" s="60"/>
    </row>
    <row r="67" spans="1:13">
      <c r="A67" s="58" t="s">
        <v>386</v>
      </c>
      <c r="B67" s="60" t="s">
        <v>231</v>
      </c>
      <c r="C67" s="57" t="s">
        <v>220</v>
      </c>
      <c r="D67" s="58">
        <v>4.04</v>
      </c>
      <c r="E67" s="75">
        <v>350</v>
      </c>
      <c r="F67" s="76">
        <f t="shared" si="3"/>
        <v>1414</v>
      </c>
      <c r="G67" s="76"/>
      <c r="H67" s="60"/>
      <c r="K67" s="59"/>
      <c r="L67" s="59"/>
      <c r="M67" s="59"/>
    </row>
    <row r="68" spans="1:13">
      <c r="A68" s="58" t="s">
        <v>387</v>
      </c>
      <c r="B68" s="60" t="s">
        <v>701</v>
      </c>
      <c r="C68" s="57" t="s">
        <v>3</v>
      </c>
      <c r="D68" s="58">
        <v>134.69999999999999</v>
      </c>
      <c r="E68" s="75">
        <v>4.4000000000000004</v>
      </c>
      <c r="F68" s="76">
        <f t="shared" si="3"/>
        <v>592.67999999999995</v>
      </c>
      <c r="G68" s="76"/>
      <c r="H68" s="60"/>
      <c r="K68" s="59"/>
      <c r="L68" s="59"/>
      <c r="M68" s="59"/>
    </row>
    <row r="69" spans="1:13">
      <c r="A69" s="58" t="s">
        <v>388</v>
      </c>
      <c r="B69" s="60" t="s">
        <v>230</v>
      </c>
      <c r="C69" s="57" t="s">
        <v>222</v>
      </c>
      <c r="D69" s="58">
        <v>73.08</v>
      </c>
      <c r="E69" s="75">
        <v>55</v>
      </c>
      <c r="F69" s="76">
        <f t="shared" si="3"/>
        <v>4019.4</v>
      </c>
      <c r="G69" s="76"/>
      <c r="H69" s="60"/>
      <c r="K69" s="59"/>
      <c r="L69" s="59"/>
      <c r="M69" s="59"/>
    </row>
    <row r="70" spans="1:13">
      <c r="A70" s="94">
        <v>3</v>
      </c>
      <c r="B70" s="95" t="s">
        <v>232</v>
      </c>
      <c r="C70" s="96"/>
      <c r="D70" s="97"/>
      <c r="E70" s="107"/>
      <c r="F70" s="108"/>
      <c r="G70" s="99">
        <f>SUM(G71:G128)</f>
        <v>119644.70600000001</v>
      </c>
      <c r="H70" s="60"/>
      <c r="K70" s="59"/>
      <c r="L70" s="59"/>
      <c r="M70" s="59"/>
    </row>
    <row r="71" spans="1:13">
      <c r="A71" s="67">
        <v>3.1</v>
      </c>
      <c r="B71" s="66" t="s">
        <v>268</v>
      </c>
      <c r="C71" s="68"/>
      <c r="D71" s="67"/>
      <c r="E71" s="73"/>
      <c r="F71" s="74"/>
      <c r="G71" s="74">
        <f>SUM(F72:F74)</f>
        <v>26033.4</v>
      </c>
      <c r="H71" s="60"/>
      <c r="K71" s="59"/>
      <c r="L71" s="59"/>
      <c r="M71" s="59"/>
    </row>
    <row r="72" spans="1:13">
      <c r="A72" s="58" t="s">
        <v>322</v>
      </c>
      <c r="B72" s="60" t="s">
        <v>269</v>
      </c>
      <c r="C72" s="57" t="s">
        <v>222</v>
      </c>
      <c r="D72" s="58">
        <v>372.08</v>
      </c>
      <c r="E72" s="76">
        <v>60</v>
      </c>
      <c r="F72" s="76">
        <f t="shared" ref="F72" si="8">D72*E72</f>
        <v>22324.799999999999</v>
      </c>
      <c r="G72" s="76"/>
      <c r="H72" s="60"/>
      <c r="K72" s="59"/>
      <c r="L72" s="59"/>
      <c r="M72" s="59"/>
    </row>
    <row r="73" spans="1:13">
      <c r="A73" s="58" t="s">
        <v>654</v>
      </c>
      <c r="B73" s="60" t="s">
        <v>655</v>
      </c>
      <c r="C73" s="57" t="s">
        <v>222</v>
      </c>
      <c r="D73" s="58">
        <v>28.76</v>
      </c>
      <c r="E73" s="76">
        <v>110</v>
      </c>
      <c r="F73" s="76">
        <f t="shared" ref="F73" si="9">D73*E73</f>
        <v>3163.6000000000004</v>
      </c>
      <c r="G73" s="76"/>
      <c r="H73" s="60"/>
      <c r="K73" s="59"/>
      <c r="L73" s="59"/>
      <c r="M73" s="59"/>
    </row>
    <row r="74" spans="1:13">
      <c r="A74" s="58" t="s">
        <v>654</v>
      </c>
      <c r="B74" s="60" t="s">
        <v>704</v>
      </c>
      <c r="C74" s="57" t="s">
        <v>222</v>
      </c>
      <c r="D74" s="58">
        <v>10.9</v>
      </c>
      <c r="E74" s="76">
        <v>50</v>
      </c>
      <c r="F74" s="76">
        <f t="shared" ref="F74" si="10">D74*E74</f>
        <v>545</v>
      </c>
      <c r="G74" s="76"/>
      <c r="H74" s="60"/>
      <c r="K74" s="59"/>
      <c r="L74" s="59"/>
      <c r="M74" s="59"/>
    </row>
    <row r="75" spans="1:13">
      <c r="A75" s="67">
        <v>3.2</v>
      </c>
      <c r="B75" s="66" t="s">
        <v>421</v>
      </c>
      <c r="C75" s="68"/>
      <c r="D75" s="67"/>
      <c r="E75" s="73"/>
      <c r="F75" s="74"/>
      <c r="G75" s="74">
        <f>SUM(F76:F79)</f>
        <v>19360.990000000002</v>
      </c>
      <c r="H75" s="60"/>
      <c r="K75" s="59"/>
      <c r="L75" s="59"/>
      <c r="M75" s="59"/>
    </row>
    <row r="76" spans="1:13">
      <c r="A76" s="58" t="s">
        <v>323</v>
      </c>
      <c r="B76" s="60" t="s">
        <v>270</v>
      </c>
      <c r="C76" s="57" t="s">
        <v>222</v>
      </c>
      <c r="D76" s="58">
        <v>20.7</v>
      </c>
      <c r="E76" s="75">
        <v>17</v>
      </c>
      <c r="F76" s="76">
        <f>+D76*E76</f>
        <v>351.9</v>
      </c>
      <c r="G76" s="76"/>
      <c r="H76" s="60"/>
      <c r="K76" s="59"/>
      <c r="L76" s="59"/>
      <c r="M76" s="59"/>
    </row>
    <row r="77" spans="1:13">
      <c r="A77" s="58" t="s">
        <v>324</v>
      </c>
      <c r="B77" s="60" t="s">
        <v>271</v>
      </c>
      <c r="C77" s="57" t="s">
        <v>19</v>
      </c>
      <c r="D77" s="58">
        <v>800.69</v>
      </c>
      <c r="E77" s="79">
        <v>17</v>
      </c>
      <c r="F77" s="76">
        <f t="shared" ref="F77:F85" si="11">+D77*E77</f>
        <v>13611.730000000001</v>
      </c>
      <c r="G77" s="76"/>
      <c r="H77" s="60"/>
      <c r="K77" s="59"/>
      <c r="L77" s="59"/>
      <c r="M77" s="59"/>
    </row>
    <row r="78" spans="1:13">
      <c r="A78" s="58" t="s">
        <v>325</v>
      </c>
      <c r="B78" s="60" t="s">
        <v>272</v>
      </c>
      <c r="C78" s="57" t="s">
        <v>19</v>
      </c>
      <c r="D78" s="58">
        <v>171.54</v>
      </c>
      <c r="E78" s="75">
        <v>24</v>
      </c>
      <c r="F78" s="76">
        <f t="shared" si="11"/>
        <v>4116.96</v>
      </c>
      <c r="G78" s="76"/>
      <c r="H78" s="60"/>
      <c r="K78" s="59"/>
      <c r="L78" s="59"/>
      <c r="M78" s="59"/>
    </row>
    <row r="79" spans="1:13">
      <c r="A79" s="58" t="s">
        <v>326</v>
      </c>
      <c r="B79" s="60" t="s">
        <v>288</v>
      </c>
      <c r="C79" s="57" t="s">
        <v>19</v>
      </c>
      <c r="D79" s="58">
        <v>10.67</v>
      </c>
      <c r="E79" s="75">
        <v>120</v>
      </c>
      <c r="F79" s="76">
        <f t="shared" si="11"/>
        <v>1280.4000000000001</v>
      </c>
      <c r="G79" s="76"/>
      <c r="H79" s="60"/>
      <c r="K79" s="59"/>
      <c r="L79" s="59"/>
      <c r="M79" s="59"/>
    </row>
    <row r="80" spans="1:13">
      <c r="A80" s="67">
        <v>3.3</v>
      </c>
      <c r="B80" s="66" t="s">
        <v>422</v>
      </c>
      <c r="C80" s="68"/>
      <c r="D80" s="67"/>
      <c r="E80" s="73"/>
      <c r="F80" s="74"/>
      <c r="G80" s="74">
        <f>SUM(F81:F82)</f>
        <v>12117.9</v>
      </c>
      <c r="H80" s="60"/>
      <c r="K80" s="59"/>
      <c r="L80" s="59"/>
      <c r="M80" s="59"/>
    </row>
    <row r="81" spans="1:13">
      <c r="A81" s="58" t="s">
        <v>327</v>
      </c>
      <c r="B81" s="60" t="s">
        <v>725</v>
      </c>
      <c r="C81" s="57" t="s">
        <v>19</v>
      </c>
      <c r="D81" s="58">
        <v>98.51</v>
      </c>
      <c r="E81" s="75">
        <v>110</v>
      </c>
      <c r="F81" s="76">
        <f t="shared" si="11"/>
        <v>10836.1</v>
      </c>
      <c r="G81" s="76"/>
      <c r="H81" s="60"/>
      <c r="K81" s="59"/>
      <c r="L81" s="59"/>
      <c r="M81" s="59"/>
    </row>
    <row r="82" spans="1:13">
      <c r="A82" s="58" t="s">
        <v>600</v>
      </c>
      <c r="B82" s="60" t="s">
        <v>574</v>
      </c>
      <c r="C82" s="57" t="s">
        <v>19</v>
      </c>
      <c r="D82" s="58">
        <v>9.86</v>
      </c>
      <c r="E82" s="79">
        <v>130</v>
      </c>
      <c r="F82" s="76">
        <f t="shared" si="11"/>
        <v>1281.8</v>
      </c>
      <c r="G82" s="76"/>
      <c r="H82" s="60"/>
      <c r="K82" s="59"/>
      <c r="L82" s="59"/>
      <c r="M82" s="59"/>
    </row>
    <row r="83" spans="1:13">
      <c r="A83" s="67">
        <v>3.4</v>
      </c>
      <c r="B83" s="66" t="s">
        <v>10</v>
      </c>
      <c r="C83" s="68"/>
      <c r="D83" s="67"/>
      <c r="E83" s="158"/>
      <c r="F83" s="74"/>
      <c r="G83" s="74">
        <f>SUM(F84:F85)</f>
        <v>8935.7799999999988</v>
      </c>
      <c r="H83" s="60"/>
      <c r="K83" s="59"/>
      <c r="L83" s="59"/>
      <c r="M83" s="59"/>
    </row>
    <row r="84" spans="1:13">
      <c r="A84" s="58" t="s">
        <v>328</v>
      </c>
      <c r="B84" s="60" t="s">
        <v>281</v>
      </c>
      <c r="C84" s="57" t="s">
        <v>222</v>
      </c>
      <c r="D84" s="58">
        <v>790.02</v>
      </c>
      <c r="E84" s="79">
        <v>10</v>
      </c>
      <c r="F84" s="76">
        <f t="shared" si="11"/>
        <v>7900.2</v>
      </c>
      <c r="G84" s="76"/>
      <c r="H84" s="60"/>
      <c r="K84" s="59"/>
      <c r="L84" s="59"/>
      <c r="M84" s="59"/>
    </row>
    <row r="85" spans="1:13">
      <c r="A85" s="58" t="s">
        <v>423</v>
      </c>
      <c r="B85" s="60" t="s">
        <v>282</v>
      </c>
      <c r="C85" s="57" t="s">
        <v>222</v>
      </c>
      <c r="D85" s="58">
        <v>79.66</v>
      </c>
      <c r="E85" s="79">
        <v>13</v>
      </c>
      <c r="F85" s="76">
        <f t="shared" si="11"/>
        <v>1035.58</v>
      </c>
      <c r="G85" s="76"/>
      <c r="H85" s="60"/>
      <c r="K85" s="59"/>
      <c r="L85" s="59"/>
      <c r="M85" s="59"/>
    </row>
    <row r="86" spans="1:13">
      <c r="A86" s="67">
        <v>3.5</v>
      </c>
      <c r="B86" s="66" t="s">
        <v>233</v>
      </c>
      <c r="C86" s="68"/>
      <c r="D86" s="67"/>
      <c r="E86" s="158"/>
      <c r="F86" s="74"/>
      <c r="G86" s="74">
        <f>SUM(F87:F95)</f>
        <v>15114.77</v>
      </c>
      <c r="H86" s="60"/>
      <c r="K86" s="59"/>
      <c r="L86" s="59"/>
      <c r="M86" s="59"/>
    </row>
    <row r="87" spans="1:13">
      <c r="A87" s="58" t="s">
        <v>329</v>
      </c>
      <c r="B87" s="60" t="s">
        <v>293</v>
      </c>
      <c r="C87" s="57" t="s">
        <v>222</v>
      </c>
      <c r="D87" s="58">
        <v>101.28</v>
      </c>
      <c r="E87" s="157">
        <v>60</v>
      </c>
      <c r="F87" s="76">
        <f>+D87*E87</f>
        <v>6076.8</v>
      </c>
      <c r="G87" s="76"/>
      <c r="H87" s="60"/>
      <c r="K87" s="59"/>
      <c r="L87" s="59"/>
      <c r="M87" s="59"/>
    </row>
    <row r="88" spans="1:13">
      <c r="A88" s="58" t="s">
        <v>330</v>
      </c>
      <c r="B88" s="60" t="s">
        <v>234</v>
      </c>
      <c r="C88" s="57" t="s">
        <v>9</v>
      </c>
      <c r="D88" s="58">
        <v>88.34</v>
      </c>
      <c r="E88" s="157">
        <v>12</v>
      </c>
      <c r="F88" s="76">
        <f>+D88*E88</f>
        <v>1060.08</v>
      </c>
      <c r="G88" s="76"/>
      <c r="H88" s="60"/>
      <c r="K88" s="59"/>
      <c r="L88" s="59"/>
      <c r="M88" s="59"/>
    </row>
    <row r="89" spans="1:13">
      <c r="A89" s="58" t="s">
        <v>331</v>
      </c>
      <c r="B89" s="60" t="s">
        <v>575</v>
      </c>
      <c r="C89" s="57" t="s">
        <v>9</v>
      </c>
      <c r="D89" s="58">
        <v>26.97</v>
      </c>
      <c r="E89" s="157">
        <v>10</v>
      </c>
      <c r="F89" s="76">
        <f>+D89*E89</f>
        <v>269.7</v>
      </c>
      <c r="G89" s="76"/>
      <c r="H89" s="60"/>
      <c r="K89" s="59"/>
      <c r="L89" s="59"/>
      <c r="M89" s="59"/>
    </row>
    <row r="90" spans="1:13">
      <c r="A90" s="58" t="s">
        <v>331</v>
      </c>
      <c r="B90" s="60" t="s">
        <v>36</v>
      </c>
      <c r="C90" s="57" t="s">
        <v>222</v>
      </c>
      <c r="D90" s="58">
        <v>10.84</v>
      </c>
      <c r="E90" s="157">
        <v>65</v>
      </c>
      <c r="F90" s="76">
        <f t="shared" ref="F90:F91" si="12">+D90*E90</f>
        <v>704.6</v>
      </c>
      <c r="G90" s="76"/>
      <c r="H90" s="60"/>
      <c r="K90" s="59"/>
      <c r="L90" s="59"/>
      <c r="M90" s="59"/>
    </row>
    <row r="91" spans="1:13">
      <c r="A91" s="58" t="s">
        <v>332</v>
      </c>
      <c r="B91" s="60" t="s">
        <v>273</v>
      </c>
      <c r="C91" s="57" t="s">
        <v>222</v>
      </c>
      <c r="D91" s="58">
        <v>163.97</v>
      </c>
      <c r="E91" s="157">
        <v>23</v>
      </c>
      <c r="F91" s="76">
        <f t="shared" si="12"/>
        <v>3771.31</v>
      </c>
      <c r="G91" s="76"/>
      <c r="H91" s="60"/>
      <c r="K91" s="59"/>
      <c r="L91" s="59"/>
      <c r="M91" s="59"/>
    </row>
    <row r="92" spans="1:13">
      <c r="A92" s="58" t="s">
        <v>333</v>
      </c>
      <c r="B92" s="60" t="s">
        <v>280</v>
      </c>
      <c r="C92" s="57" t="s">
        <v>222</v>
      </c>
      <c r="D92" s="58">
        <v>52.09</v>
      </c>
      <c r="E92" s="157">
        <v>18</v>
      </c>
      <c r="F92" s="76">
        <f t="shared" ref="F92" si="13">+D92*E92</f>
        <v>937.62000000000012</v>
      </c>
      <c r="G92" s="76"/>
      <c r="H92" s="60"/>
      <c r="K92" s="59"/>
      <c r="L92" s="59"/>
      <c r="M92" s="59"/>
    </row>
    <row r="93" spans="1:13">
      <c r="A93" s="58" t="s">
        <v>334</v>
      </c>
      <c r="B93" s="60" t="s">
        <v>705</v>
      </c>
      <c r="C93" s="57" t="s">
        <v>222</v>
      </c>
      <c r="D93" s="58">
        <v>24.26</v>
      </c>
      <c r="E93" s="157">
        <v>41</v>
      </c>
      <c r="F93" s="76">
        <f t="shared" ref="F93:F95" si="14">+D93*E93</f>
        <v>994.66000000000008</v>
      </c>
      <c r="G93" s="76"/>
      <c r="H93" s="60"/>
      <c r="K93" s="59"/>
      <c r="L93" s="59"/>
      <c r="M93" s="59"/>
    </row>
    <row r="94" spans="1:13">
      <c r="A94" s="58" t="s">
        <v>335</v>
      </c>
      <c r="B94" s="60" t="s">
        <v>706</v>
      </c>
      <c r="C94" s="57" t="s">
        <v>707</v>
      </c>
      <c r="D94" s="58">
        <v>6</v>
      </c>
      <c r="E94" s="157">
        <v>180</v>
      </c>
      <c r="F94" s="76">
        <f t="shared" si="14"/>
        <v>1080</v>
      </c>
      <c r="G94" s="76"/>
      <c r="H94" s="60"/>
      <c r="K94" s="59"/>
      <c r="L94" s="59"/>
      <c r="M94" s="59"/>
    </row>
    <row r="95" spans="1:13">
      <c r="A95" s="58" t="s">
        <v>336</v>
      </c>
      <c r="B95" s="60" t="s">
        <v>708</v>
      </c>
      <c r="C95" s="57" t="s">
        <v>709</v>
      </c>
      <c r="D95" s="58">
        <v>10</v>
      </c>
      <c r="E95" s="157">
        <v>22</v>
      </c>
      <c r="F95" s="76">
        <f t="shared" si="14"/>
        <v>220</v>
      </c>
      <c r="G95" s="76"/>
      <c r="H95" s="60"/>
      <c r="K95" s="59"/>
      <c r="L95" s="59"/>
      <c r="M95" s="59"/>
    </row>
    <row r="96" spans="1:13">
      <c r="A96" s="67">
        <v>3.5</v>
      </c>
      <c r="B96" s="66" t="s">
        <v>390</v>
      </c>
      <c r="C96" s="68"/>
      <c r="D96" s="67"/>
      <c r="E96" s="73"/>
      <c r="F96" s="74"/>
      <c r="G96" s="74">
        <f>SUM(F97:F110)</f>
        <v>10553.847</v>
      </c>
      <c r="H96" s="60"/>
      <c r="K96" s="59"/>
      <c r="L96" s="59"/>
      <c r="M96" s="59"/>
    </row>
    <row r="97" spans="1:13">
      <c r="A97" s="58" t="s">
        <v>329</v>
      </c>
      <c r="B97" s="60" t="s">
        <v>424</v>
      </c>
      <c r="C97" s="57" t="s">
        <v>30</v>
      </c>
      <c r="D97" s="58">
        <v>1</v>
      </c>
      <c r="E97" s="75">
        <v>550</v>
      </c>
      <c r="F97" s="76">
        <f t="shared" ref="F97:F115" si="15">+D97*E97</f>
        <v>550</v>
      </c>
      <c r="G97" s="76"/>
      <c r="H97" s="60"/>
      <c r="K97" s="59"/>
      <c r="L97" s="59"/>
      <c r="M97" s="59"/>
    </row>
    <row r="98" spans="1:13">
      <c r="A98" s="58" t="s">
        <v>330</v>
      </c>
      <c r="B98" s="60" t="s">
        <v>235</v>
      </c>
      <c r="C98" s="57" t="s">
        <v>30</v>
      </c>
      <c r="D98" s="58">
        <v>1</v>
      </c>
      <c r="E98" s="75">
        <v>80</v>
      </c>
      <c r="F98" s="76">
        <f t="shared" si="15"/>
        <v>80</v>
      </c>
      <c r="G98" s="76"/>
      <c r="H98" s="60"/>
      <c r="K98" s="59"/>
      <c r="L98" s="59"/>
      <c r="M98" s="59"/>
    </row>
    <row r="99" spans="1:13">
      <c r="A99" s="58" t="s">
        <v>331</v>
      </c>
      <c r="B99" s="60" t="s">
        <v>276</v>
      </c>
      <c r="C99" s="57" t="s">
        <v>24</v>
      </c>
      <c r="D99" s="58">
        <v>2.1</v>
      </c>
      <c r="E99" s="75">
        <v>150</v>
      </c>
      <c r="F99" s="76">
        <f t="shared" si="15"/>
        <v>315</v>
      </c>
      <c r="G99" s="76"/>
      <c r="H99" s="60"/>
      <c r="K99" s="59"/>
      <c r="L99" s="59"/>
      <c r="M99" s="59"/>
    </row>
    <row r="100" spans="1:13">
      <c r="A100" s="58" t="s">
        <v>332</v>
      </c>
      <c r="B100" s="60" t="s">
        <v>277</v>
      </c>
      <c r="C100" s="57" t="s">
        <v>24</v>
      </c>
      <c r="D100" s="58">
        <v>614.79</v>
      </c>
      <c r="E100" s="75">
        <v>4</v>
      </c>
      <c r="F100" s="76">
        <f t="shared" si="15"/>
        <v>2459.16</v>
      </c>
      <c r="G100" s="76"/>
      <c r="H100" s="60"/>
      <c r="K100" s="59"/>
      <c r="L100" s="59"/>
      <c r="M100" s="59"/>
    </row>
    <row r="101" spans="1:13">
      <c r="A101" s="58" t="s">
        <v>333</v>
      </c>
      <c r="B101" s="60" t="s">
        <v>283</v>
      </c>
      <c r="C101" s="57" t="s">
        <v>24</v>
      </c>
      <c r="D101" s="58">
        <v>251.5</v>
      </c>
      <c r="E101" s="75">
        <v>6</v>
      </c>
      <c r="F101" s="76">
        <f t="shared" si="15"/>
        <v>1509</v>
      </c>
      <c r="G101" s="76"/>
      <c r="H101" s="60"/>
      <c r="K101" s="59"/>
      <c r="L101" s="59"/>
      <c r="M101" s="59"/>
    </row>
    <row r="102" spans="1:13">
      <c r="A102" s="58" t="s">
        <v>334</v>
      </c>
      <c r="B102" s="60" t="s">
        <v>599</v>
      </c>
      <c r="C102" s="57" t="s">
        <v>24</v>
      </c>
      <c r="D102" s="58">
        <v>296.79000000000002</v>
      </c>
      <c r="E102" s="75">
        <v>2.5</v>
      </c>
      <c r="F102" s="76">
        <f t="shared" ref="F102" si="16">+D102*E102</f>
        <v>741.97500000000002</v>
      </c>
      <c r="G102" s="76"/>
      <c r="H102" s="60"/>
      <c r="K102" s="59"/>
      <c r="L102" s="59"/>
      <c r="M102" s="59"/>
    </row>
    <row r="103" spans="1:13">
      <c r="A103" s="58" t="s">
        <v>335</v>
      </c>
      <c r="B103" s="60" t="s">
        <v>362</v>
      </c>
      <c r="C103" s="57" t="s">
        <v>24</v>
      </c>
      <c r="D103" s="58">
        <v>1271.77</v>
      </c>
      <c r="E103" s="75">
        <v>0.6</v>
      </c>
      <c r="F103" s="76">
        <f t="shared" ref="F103" si="17">+D103*E103</f>
        <v>763.06200000000001</v>
      </c>
      <c r="G103" s="76"/>
      <c r="H103" s="60"/>
      <c r="K103" s="59"/>
      <c r="L103" s="59"/>
      <c r="M103" s="59"/>
    </row>
    <row r="104" spans="1:13">
      <c r="A104" s="58" t="s">
        <v>336</v>
      </c>
      <c r="B104" s="60" t="s">
        <v>576</v>
      </c>
      <c r="C104" s="57" t="s">
        <v>11</v>
      </c>
      <c r="D104" s="143">
        <v>14.98</v>
      </c>
      <c r="E104" s="75">
        <v>35</v>
      </c>
      <c r="F104" s="76">
        <f t="shared" ref="F104:F110" si="18">+D104*E104</f>
        <v>524.30000000000007</v>
      </c>
      <c r="G104" s="75"/>
      <c r="H104" s="60"/>
      <c r="K104" s="59"/>
      <c r="L104" s="59"/>
      <c r="M104" s="59"/>
    </row>
    <row r="105" spans="1:13">
      <c r="A105" s="58" t="s">
        <v>337</v>
      </c>
      <c r="B105" s="60" t="s">
        <v>392</v>
      </c>
      <c r="C105" s="57" t="s">
        <v>30</v>
      </c>
      <c r="D105" s="58">
        <v>1</v>
      </c>
      <c r="E105" s="75">
        <v>350</v>
      </c>
      <c r="F105" s="76">
        <f t="shared" si="18"/>
        <v>350</v>
      </c>
      <c r="G105" s="75"/>
      <c r="H105" s="60"/>
      <c r="K105" s="59"/>
      <c r="L105" s="59"/>
      <c r="M105" s="59"/>
    </row>
    <row r="106" spans="1:13">
      <c r="A106" s="58" t="s">
        <v>338</v>
      </c>
      <c r="B106" s="60" t="s">
        <v>393</v>
      </c>
      <c r="C106" s="57" t="s">
        <v>30</v>
      </c>
      <c r="D106" s="58">
        <v>1</v>
      </c>
      <c r="E106" s="75">
        <v>280</v>
      </c>
      <c r="F106" s="76">
        <f t="shared" si="18"/>
        <v>280</v>
      </c>
      <c r="G106" s="75"/>
      <c r="H106" s="60"/>
      <c r="K106" s="59"/>
      <c r="L106" s="59"/>
      <c r="M106" s="59"/>
    </row>
    <row r="107" spans="1:13">
      <c r="A107" s="58" t="s">
        <v>339</v>
      </c>
      <c r="B107" s="60" t="s">
        <v>391</v>
      </c>
      <c r="C107" s="57" t="s">
        <v>30</v>
      </c>
      <c r="D107" s="58">
        <v>1</v>
      </c>
      <c r="E107" s="75">
        <v>400</v>
      </c>
      <c r="F107" s="76">
        <f t="shared" si="18"/>
        <v>400</v>
      </c>
      <c r="G107" s="75"/>
      <c r="H107" s="60"/>
      <c r="K107" s="59"/>
      <c r="L107" s="59"/>
      <c r="M107" s="59"/>
    </row>
    <row r="108" spans="1:13">
      <c r="A108" s="58" t="s">
        <v>340</v>
      </c>
      <c r="B108" s="60" t="s">
        <v>238</v>
      </c>
      <c r="C108" s="57" t="s">
        <v>9</v>
      </c>
      <c r="D108" s="58">
        <v>64.09</v>
      </c>
      <c r="E108" s="75">
        <v>15</v>
      </c>
      <c r="F108" s="76">
        <f t="shared" si="18"/>
        <v>961.35</v>
      </c>
      <c r="G108" s="72"/>
      <c r="H108" s="60"/>
      <c r="K108" s="59"/>
      <c r="L108" s="59"/>
      <c r="M108" s="59"/>
    </row>
    <row r="109" spans="1:13">
      <c r="A109" s="58" t="s">
        <v>598</v>
      </c>
      <c r="B109" s="60" t="s">
        <v>728</v>
      </c>
      <c r="C109" s="57" t="s">
        <v>6</v>
      </c>
      <c r="D109" s="58">
        <v>3</v>
      </c>
      <c r="E109" s="75">
        <v>400</v>
      </c>
      <c r="F109" s="76">
        <f t="shared" si="18"/>
        <v>1200</v>
      </c>
      <c r="G109" s="72"/>
      <c r="H109" s="60"/>
      <c r="K109" s="59"/>
      <c r="L109" s="59"/>
      <c r="M109" s="59"/>
    </row>
    <row r="110" spans="1:13">
      <c r="A110" s="58" t="s">
        <v>666</v>
      </c>
      <c r="B110" s="60" t="s">
        <v>667</v>
      </c>
      <c r="C110" s="57" t="s">
        <v>30</v>
      </c>
      <c r="D110" s="58">
        <v>1</v>
      </c>
      <c r="E110" s="75">
        <v>420</v>
      </c>
      <c r="F110" s="76">
        <f t="shared" si="18"/>
        <v>420</v>
      </c>
      <c r="G110" s="72"/>
      <c r="H110" s="60"/>
      <c r="K110" s="59"/>
      <c r="L110" s="59"/>
      <c r="M110" s="59"/>
    </row>
    <row r="111" spans="1:13">
      <c r="A111" s="67">
        <v>3.6</v>
      </c>
      <c r="B111" s="66" t="s">
        <v>389</v>
      </c>
      <c r="C111" s="68"/>
      <c r="D111" s="67"/>
      <c r="E111" s="73"/>
      <c r="F111" s="74"/>
      <c r="G111" s="74">
        <f>SUM(F112:F113)</f>
        <v>1100</v>
      </c>
    </row>
    <row r="112" spans="1:13">
      <c r="A112" s="58" t="s">
        <v>341</v>
      </c>
      <c r="B112" s="60" t="s">
        <v>394</v>
      </c>
      <c r="C112" s="57" t="s">
        <v>30</v>
      </c>
      <c r="D112" s="58">
        <v>1</v>
      </c>
      <c r="E112" s="75">
        <v>400</v>
      </c>
      <c r="F112" s="76">
        <f t="shared" ref="F112:F113" si="19">+D112*E112</f>
        <v>400</v>
      </c>
      <c r="G112" s="74"/>
    </row>
    <row r="113" spans="1:13">
      <c r="A113" s="58" t="s">
        <v>342</v>
      </c>
      <c r="B113" s="60" t="s">
        <v>395</v>
      </c>
      <c r="C113" s="57" t="s">
        <v>30</v>
      </c>
      <c r="D113" s="58">
        <v>2</v>
      </c>
      <c r="E113" s="75">
        <v>350</v>
      </c>
      <c r="F113" s="76">
        <f t="shared" si="19"/>
        <v>700</v>
      </c>
      <c r="G113" s="74"/>
    </row>
    <row r="114" spans="1:13">
      <c r="A114" s="67">
        <v>3.7</v>
      </c>
      <c r="B114" s="66" t="s">
        <v>396</v>
      </c>
      <c r="C114" s="68"/>
      <c r="D114" s="67"/>
      <c r="E114" s="73"/>
      <c r="F114" s="74"/>
      <c r="G114" s="74">
        <f>SUM(F115:F117)</f>
        <v>5657.35</v>
      </c>
    </row>
    <row r="115" spans="1:13">
      <c r="A115" s="58" t="s">
        <v>343</v>
      </c>
      <c r="B115" s="60" t="s">
        <v>398</v>
      </c>
      <c r="C115" s="57" t="s">
        <v>19</v>
      </c>
      <c r="D115" s="58">
        <v>7.41</v>
      </c>
      <c r="E115" s="75">
        <v>220</v>
      </c>
      <c r="F115" s="76">
        <f t="shared" si="15"/>
        <v>1630.2</v>
      </c>
      <c r="G115" s="75"/>
      <c r="H115" s="60"/>
      <c r="K115" s="59"/>
      <c r="L115" s="59"/>
      <c r="M115" s="59"/>
    </row>
    <row r="116" spans="1:13">
      <c r="A116" s="58" t="s">
        <v>344</v>
      </c>
      <c r="B116" s="60" t="s">
        <v>284</v>
      </c>
      <c r="C116" s="57" t="s">
        <v>19</v>
      </c>
      <c r="D116" s="58">
        <v>28.86</v>
      </c>
      <c r="E116" s="75">
        <v>90</v>
      </c>
      <c r="F116" s="76">
        <f>+D116*E116</f>
        <v>2597.4</v>
      </c>
      <c r="G116" s="75"/>
      <c r="H116" s="60"/>
      <c r="K116" s="59"/>
      <c r="L116" s="59"/>
      <c r="M116" s="59"/>
    </row>
    <row r="117" spans="1:13">
      <c r="A117" s="58" t="s">
        <v>397</v>
      </c>
      <c r="B117" s="60" t="s">
        <v>285</v>
      </c>
      <c r="C117" s="57" t="s">
        <v>19</v>
      </c>
      <c r="D117" s="58">
        <v>15.05</v>
      </c>
      <c r="E117" s="75">
        <v>95</v>
      </c>
      <c r="F117" s="76">
        <f>+D117*E117</f>
        <v>1429.75</v>
      </c>
      <c r="G117" s="75"/>
      <c r="H117" s="60"/>
      <c r="K117" s="59"/>
      <c r="L117" s="59"/>
      <c r="M117" s="59"/>
    </row>
    <row r="118" spans="1:13">
      <c r="A118" s="67">
        <v>3.8</v>
      </c>
      <c r="B118" s="66" t="s">
        <v>236</v>
      </c>
      <c r="C118" s="68"/>
      <c r="D118" s="67"/>
      <c r="E118" s="73"/>
      <c r="F118" s="74"/>
      <c r="G118" s="74">
        <f>SUM(F119:F127)</f>
        <v>17010.669000000002</v>
      </c>
    </row>
    <row r="119" spans="1:13">
      <c r="A119" s="58" t="s">
        <v>359</v>
      </c>
      <c r="B119" s="60" t="s">
        <v>710</v>
      </c>
      <c r="C119" s="57" t="s">
        <v>19</v>
      </c>
      <c r="D119" s="58">
        <v>163.51</v>
      </c>
      <c r="E119" s="75">
        <v>32</v>
      </c>
      <c r="F119" s="76">
        <f t="shared" ref="F119" si="20">+D119*E119</f>
        <v>5232.32</v>
      </c>
      <c r="G119" s="75"/>
      <c r="H119" s="60"/>
      <c r="K119" s="59"/>
      <c r="L119" s="59"/>
      <c r="M119" s="59"/>
    </row>
    <row r="120" spans="1:13">
      <c r="A120" s="58" t="s">
        <v>399</v>
      </c>
      <c r="B120" s="60" t="s">
        <v>647</v>
      </c>
      <c r="C120" s="57" t="s">
        <v>19</v>
      </c>
      <c r="D120" s="58">
        <v>163.51</v>
      </c>
      <c r="E120" s="75">
        <v>18</v>
      </c>
      <c r="F120" s="76">
        <f t="shared" ref="F120" si="21">+D120*E120</f>
        <v>2943.18</v>
      </c>
      <c r="G120" s="75"/>
      <c r="H120" s="60"/>
      <c r="K120" s="59"/>
      <c r="L120" s="59"/>
      <c r="M120" s="59"/>
    </row>
    <row r="121" spans="1:13" ht="27.6">
      <c r="A121" s="58" t="s">
        <v>400</v>
      </c>
      <c r="B121" s="60" t="s">
        <v>648</v>
      </c>
      <c r="C121" s="57" t="s">
        <v>19</v>
      </c>
      <c r="D121" s="58">
        <v>163.51</v>
      </c>
      <c r="E121" s="75">
        <v>11</v>
      </c>
      <c r="F121" s="76">
        <f t="shared" ref="F121" si="22">+D121*E121</f>
        <v>1798.61</v>
      </c>
      <c r="G121" s="75"/>
      <c r="H121" s="60"/>
      <c r="K121" s="59"/>
      <c r="L121" s="59"/>
      <c r="M121" s="59"/>
    </row>
    <row r="122" spans="1:13" ht="27.6">
      <c r="A122" s="58" t="s">
        <v>401</v>
      </c>
      <c r="B122" s="60" t="s">
        <v>237</v>
      </c>
      <c r="C122" s="57" t="s">
        <v>11</v>
      </c>
      <c r="D122" s="58">
        <v>29.88</v>
      </c>
      <c r="E122" s="75">
        <v>33</v>
      </c>
      <c r="F122" s="76">
        <f>+D122*E122</f>
        <v>986.04</v>
      </c>
      <c r="G122" s="75"/>
      <c r="H122" s="60"/>
      <c r="K122" s="59"/>
      <c r="L122" s="59"/>
      <c r="M122" s="59"/>
    </row>
    <row r="123" spans="1:13">
      <c r="A123" s="58" t="s">
        <v>678</v>
      </c>
      <c r="B123" s="60" t="s">
        <v>680</v>
      </c>
      <c r="C123" s="57" t="s">
        <v>11</v>
      </c>
      <c r="D123" s="58">
        <v>4</v>
      </c>
      <c r="E123" s="75">
        <v>130</v>
      </c>
      <c r="F123" s="76">
        <f>+D123*E123</f>
        <v>520</v>
      </c>
      <c r="G123" s="75"/>
      <c r="H123" s="60"/>
      <c r="K123" s="59"/>
      <c r="L123" s="59"/>
      <c r="M123" s="59"/>
    </row>
    <row r="124" spans="1:13">
      <c r="A124" s="58" t="s">
        <v>679</v>
      </c>
      <c r="B124" s="60" t="s">
        <v>682</v>
      </c>
      <c r="C124" s="57" t="s">
        <v>30</v>
      </c>
      <c r="D124" s="58">
        <v>1</v>
      </c>
      <c r="E124" s="75">
        <v>80</v>
      </c>
      <c r="F124" s="76">
        <f>+D124*E124</f>
        <v>80</v>
      </c>
      <c r="G124" s="75"/>
      <c r="H124" s="60"/>
      <c r="K124" s="59"/>
      <c r="L124" s="59"/>
      <c r="M124" s="59"/>
    </row>
    <row r="125" spans="1:13">
      <c r="A125" s="58" t="s">
        <v>681</v>
      </c>
      <c r="B125" s="60" t="s">
        <v>683</v>
      </c>
      <c r="C125" s="57" t="s">
        <v>684</v>
      </c>
      <c r="D125" s="58">
        <v>1</v>
      </c>
      <c r="E125" s="75">
        <v>350</v>
      </c>
      <c r="F125" s="76">
        <f>+D125*E125</f>
        <v>350</v>
      </c>
      <c r="G125" s="75"/>
      <c r="H125" s="60"/>
      <c r="K125" s="59"/>
      <c r="L125" s="59"/>
      <c r="M125" s="59"/>
    </row>
    <row r="126" spans="1:13">
      <c r="A126" s="58" t="s">
        <v>723</v>
      </c>
      <c r="B126" s="60" t="s">
        <v>711</v>
      </c>
      <c r="C126" s="57" t="s">
        <v>19</v>
      </c>
      <c r="D126" s="58">
        <v>446.72</v>
      </c>
      <c r="E126" s="75">
        <v>9.6999999999999993</v>
      </c>
      <c r="F126" s="76">
        <f t="shared" ref="F126:F127" si="23">+D126*E126</f>
        <v>4333.1840000000002</v>
      </c>
      <c r="G126" s="75"/>
      <c r="H126" s="60"/>
      <c r="K126" s="59"/>
      <c r="L126" s="59"/>
      <c r="M126" s="59"/>
    </row>
    <row r="127" spans="1:13">
      <c r="A127" s="58" t="s">
        <v>724</v>
      </c>
      <c r="B127" s="60" t="s">
        <v>712</v>
      </c>
      <c r="C127" s="57" t="s">
        <v>713</v>
      </c>
      <c r="D127" s="58">
        <v>92.45</v>
      </c>
      <c r="E127" s="75">
        <v>8.3000000000000007</v>
      </c>
      <c r="F127" s="76">
        <f t="shared" si="23"/>
        <v>767.33500000000004</v>
      </c>
      <c r="G127" s="75"/>
      <c r="H127" s="60"/>
      <c r="K127" s="59"/>
      <c r="L127" s="59"/>
      <c r="M127" s="59"/>
    </row>
    <row r="128" spans="1:13">
      <c r="A128" s="67">
        <v>3.9</v>
      </c>
      <c r="B128" s="66" t="s">
        <v>258</v>
      </c>
      <c r="C128" s="68"/>
      <c r="D128" s="67"/>
      <c r="E128" s="75"/>
      <c r="F128" s="74"/>
      <c r="G128" s="74">
        <f>SUM(F129:F134)</f>
        <v>3760</v>
      </c>
      <c r="H128" s="60"/>
      <c r="K128" s="59"/>
      <c r="L128" s="59"/>
      <c r="M128" s="59"/>
    </row>
    <row r="129" spans="1:13">
      <c r="A129" s="58" t="s">
        <v>402</v>
      </c>
      <c r="B129" s="60" t="s">
        <v>405</v>
      </c>
      <c r="C129" s="57" t="s">
        <v>30</v>
      </c>
      <c r="D129" s="58">
        <v>1</v>
      </c>
      <c r="E129" s="75">
        <v>290</v>
      </c>
      <c r="F129" s="76">
        <f t="shared" ref="F129:F134" si="24">+D129*E129</f>
        <v>290</v>
      </c>
      <c r="G129" s="72"/>
      <c r="H129" s="60"/>
      <c r="K129" s="59"/>
      <c r="L129" s="59"/>
      <c r="M129" s="59"/>
    </row>
    <row r="130" spans="1:13">
      <c r="A130" s="58" t="s">
        <v>403</v>
      </c>
      <c r="B130" s="60" t="s">
        <v>406</v>
      </c>
      <c r="C130" s="57" t="s">
        <v>30</v>
      </c>
      <c r="D130" s="58">
        <v>2</v>
      </c>
      <c r="E130" s="75">
        <v>85</v>
      </c>
      <c r="F130" s="76">
        <f t="shared" si="24"/>
        <v>170</v>
      </c>
      <c r="G130" s="72"/>
      <c r="H130" s="60"/>
      <c r="K130" s="59"/>
      <c r="L130" s="59"/>
      <c r="M130" s="59"/>
    </row>
    <row r="131" spans="1:13">
      <c r="A131" s="58" t="s">
        <v>407</v>
      </c>
      <c r="B131" s="60" t="s">
        <v>714</v>
      </c>
      <c r="C131" s="57" t="s">
        <v>30</v>
      </c>
      <c r="D131" s="58">
        <v>7</v>
      </c>
      <c r="E131" s="75">
        <v>250</v>
      </c>
      <c r="F131" s="76">
        <f t="shared" si="24"/>
        <v>1750</v>
      </c>
      <c r="G131" s="72"/>
      <c r="H131" s="60"/>
      <c r="K131" s="59"/>
      <c r="L131" s="59"/>
      <c r="M131" s="59"/>
    </row>
    <row r="132" spans="1:13">
      <c r="A132" s="58" t="s">
        <v>408</v>
      </c>
      <c r="B132" s="60" t="s">
        <v>404</v>
      </c>
      <c r="C132" s="57" t="s">
        <v>30</v>
      </c>
      <c r="D132" s="58">
        <v>40</v>
      </c>
      <c r="E132" s="75">
        <v>30</v>
      </c>
      <c r="F132" s="76">
        <f t="shared" si="24"/>
        <v>1200</v>
      </c>
      <c r="G132" s="72"/>
      <c r="H132" s="60"/>
      <c r="K132" s="59"/>
      <c r="L132" s="59"/>
      <c r="M132" s="59"/>
    </row>
    <row r="133" spans="1:13">
      <c r="A133" s="58" t="s">
        <v>409</v>
      </c>
      <c r="B133" s="60" t="s">
        <v>715</v>
      </c>
      <c r="C133" s="57" t="s">
        <v>30</v>
      </c>
      <c r="D133" s="58">
        <v>1</v>
      </c>
      <c r="E133" s="75">
        <v>200</v>
      </c>
      <c r="F133" s="76">
        <f t="shared" si="24"/>
        <v>200</v>
      </c>
      <c r="G133" s="72"/>
      <c r="H133" s="60"/>
      <c r="K133" s="59"/>
      <c r="L133" s="59"/>
      <c r="M133" s="59"/>
    </row>
    <row r="134" spans="1:13">
      <c r="A134" s="58" t="s">
        <v>659</v>
      </c>
      <c r="B134" s="60" t="s">
        <v>660</v>
      </c>
      <c r="C134" s="57" t="s">
        <v>30</v>
      </c>
      <c r="D134" s="58">
        <v>1</v>
      </c>
      <c r="E134" s="75">
        <v>150</v>
      </c>
      <c r="F134" s="76">
        <f t="shared" si="24"/>
        <v>150</v>
      </c>
      <c r="G134" s="72"/>
      <c r="H134" s="60"/>
      <c r="K134" s="59"/>
      <c r="L134" s="59"/>
      <c r="M134" s="59"/>
    </row>
    <row r="135" spans="1:13">
      <c r="A135" s="94">
        <v>4</v>
      </c>
      <c r="B135" s="95" t="s">
        <v>239</v>
      </c>
      <c r="C135" s="96"/>
      <c r="D135" s="97"/>
      <c r="E135" s="107"/>
      <c r="F135" s="108"/>
      <c r="G135" s="99">
        <f>SUM(G136:G158)</f>
        <v>11064.57</v>
      </c>
      <c r="H135" s="60"/>
      <c r="K135" s="59"/>
      <c r="L135" s="59"/>
      <c r="M135" s="59"/>
    </row>
    <row r="136" spans="1:13">
      <c r="A136" s="67">
        <v>4.0999999999999996</v>
      </c>
      <c r="B136" s="66" t="s">
        <v>240</v>
      </c>
      <c r="C136" s="68"/>
      <c r="D136" s="67"/>
      <c r="E136" s="73"/>
      <c r="F136" s="74"/>
      <c r="G136" s="74">
        <f>SUM(F137:F139)</f>
        <v>1190</v>
      </c>
      <c r="H136" s="60"/>
      <c r="K136" s="59"/>
      <c r="L136" s="59"/>
      <c r="M136" s="59"/>
    </row>
    <row r="137" spans="1:13">
      <c r="A137" s="58" t="s">
        <v>345</v>
      </c>
      <c r="B137" s="60" t="s">
        <v>241</v>
      </c>
      <c r="C137" s="57" t="s">
        <v>242</v>
      </c>
      <c r="D137" s="58">
        <v>2</v>
      </c>
      <c r="E137" s="75">
        <v>250</v>
      </c>
      <c r="F137" s="76">
        <f>+D137*E137</f>
        <v>500</v>
      </c>
      <c r="G137" s="76"/>
      <c r="H137" s="60"/>
      <c r="K137" s="59"/>
      <c r="L137" s="59"/>
      <c r="M137" s="59"/>
    </row>
    <row r="138" spans="1:13">
      <c r="A138" s="58" t="s">
        <v>346</v>
      </c>
      <c r="B138" s="60" t="s">
        <v>243</v>
      </c>
      <c r="C138" s="57" t="s">
        <v>242</v>
      </c>
      <c r="D138" s="58">
        <v>2</v>
      </c>
      <c r="E138" s="75">
        <v>200</v>
      </c>
      <c r="F138" s="76">
        <f>+D138*E138</f>
        <v>400</v>
      </c>
      <c r="G138" s="76"/>
      <c r="H138" s="60"/>
      <c r="K138" s="59"/>
      <c r="L138" s="59"/>
      <c r="M138" s="59"/>
    </row>
    <row r="139" spans="1:13">
      <c r="A139" s="58" t="s">
        <v>347</v>
      </c>
      <c r="B139" s="60" t="s">
        <v>275</v>
      </c>
      <c r="C139" s="57" t="s">
        <v>242</v>
      </c>
      <c r="D139" s="58">
        <v>1</v>
      </c>
      <c r="E139" s="75">
        <v>290</v>
      </c>
      <c r="F139" s="76">
        <f>+D139*E139</f>
        <v>290</v>
      </c>
      <c r="G139" s="76"/>
      <c r="H139" s="60"/>
      <c r="K139" s="59"/>
      <c r="L139" s="59"/>
      <c r="M139" s="59"/>
    </row>
    <row r="140" spans="1:13">
      <c r="A140" s="67">
        <v>4.2</v>
      </c>
      <c r="B140" s="66" t="s">
        <v>244</v>
      </c>
      <c r="C140" s="68"/>
      <c r="D140" s="67"/>
      <c r="E140" s="73"/>
      <c r="F140" s="74"/>
      <c r="G140" s="74">
        <f>SUM(F141:F147)</f>
        <v>5881.57</v>
      </c>
      <c r="H140" s="60"/>
      <c r="K140" s="59"/>
      <c r="L140" s="59"/>
      <c r="M140" s="59"/>
    </row>
    <row r="141" spans="1:13">
      <c r="A141" s="58" t="s">
        <v>348</v>
      </c>
      <c r="B141" s="60" t="s">
        <v>245</v>
      </c>
      <c r="C141" s="57" t="s">
        <v>246</v>
      </c>
      <c r="D141" s="58">
        <v>7</v>
      </c>
      <c r="E141" s="75">
        <v>80</v>
      </c>
      <c r="F141" s="76">
        <f t="shared" ref="F141:F147" si="25">+D141*E141</f>
        <v>560</v>
      </c>
      <c r="G141" s="76"/>
      <c r="H141" s="60"/>
      <c r="K141" s="59"/>
      <c r="L141" s="59"/>
      <c r="M141" s="59"/>
    </row>
    <row r="142" spans="1:13">
      <c r="A142" s="58" t="s">
        <v>349</v>
      </c>
      <c r="B142" s="60" t="s">
        <v>693</v>
      </c>
      <c r="C142" s="57" t="s">
        <v>246</v>
      </c>
      <c r="D142" s="58">
        <v>9</v>
      </c>
      <c r="E142" s="75">
        <v>90</v>
      </c>
      <c r="F142" s="76">
        <f t="shared" ref="F142" si="26">+D142*E142</f>
        <v>810</v>
      </c>
      <c r="G142" s="76"/>
      <c r="H142" s="60"/>
      <c r="K142" s="59"/>
      <c r="L142" s="59"/>
      <c r="M142" s="59"/>
    </row>
    <row r="143" spans="1:13">
      <c r="A143" s="58" t="s">
        <v>350</v>
      </c>
      <c r="B143" s="60" t="s">
        <v>247</v>
      </c>
      <c r="C143" s="57" t="s">
        <v>9</v>
      </c>
      <c r="D143" s="58">
        <v>32.229999999999997</v>
      </c>
      <c r="E143" s="75">
        <v>15</v>
      </c>
      <c r="F143" s="76">
        <f t="shared" si="25"/>
        <v>483.44999999999993</v>
      </c>
      <c r="G143" s="76"/>
      <c r="H143" s="60"/>
      <c r="K143" s="59"/>
      <c r="L143" s="59"/>
      <c r="M143" s="59"/>
    </row>
    <row r="144" spans="1:13">
      <c r="A144" s="58" t="s">
        <v>351</v>
      </c>
      <c r="B144" s="60" t="s">
        <v>668</v>
      </c>
      <c r="C144" s="57" t="s">
        <v>9</v>
      </c>
      <c r="D144" s="58">
        <v>6.66</v>
      </c>
      <c r="E144" s="75">
        <v>16</v>
      </c>
      <c r="F144" s="76">
        <f t="shared" ref="F144:F145" si="27">+D144*E144</f>
        <v>106.56</v>
      </c>
      <c r="G144" s="76"/>
      <c r="H144" s="60"/>
      <c r="K144" s="59"/>
      <c r="L144" s="59"/>
      <c r="M144" s="59"/>
    </row>
    <row r="145" spans="1:13">
      <c r="A145" s="58" t="s">
        <v>670</v>
      </c>
      <c r="B145" s="60" t="s">
        <v>669</v>
      </c>
      <c r="C145" s="57" t="s">
        <v>9</v>
      </c>
      <c r="D145" s="58">
        <v>43.58</v>
      </c>
      <c r="E145" s="75">
        <v>18</v>
      </c>
      <c r="F145" s="76">
        <f t="shared" si="27"/>
        <v>784.43999999999994</v>
      </c>
      <c r="G145" s="76"/>
      <c r="H145" s="60"/>
      <c r="K145" s="59"/>
      <c r="L145" s="59"/>
      <c r="M145" s="59"/>
    </row>
    <row r="146" spans="1:13">
      <c r="A146" s="58" t="s">
        <v>671</v>
      </c>
      <c r="B146" s="60" t="s">
        <v>248</v>
      </c>
      <c r="C146" s="57" t="s">
        <v>9</v>
      </c>
      <c r="D146" s="58">
        <v>56.66</v>
      </c>
      <c r="E146" s="75">
        <v>28</v>
      </c>
      <c r="F146" s="76">
        <f t="shared" si="25"/>
        <v>1586.48</v>
      </c>
      <c r="G146" s="76"/>
      <c r="H146" s="60"/>
      <c r="K146" s="59"/>
      <c r="L146" s="59"/>
      <c r="M146" s="59"/>
    </row>
    <row r="147" spans="1:13">
      <c r="A147" s="58" t="s">
        <v>694</v>
      </c>
      <c r="B147" s="60" t="s">
        <v>249</v>
      </c>
      <c r="C147" s="57" t="s">
        <v>9</v>
      </c>
      <c r="D147" s="58">
        <v>64.61</v>
      </c>
      <c r="E147" s="75">
        <v>24</v>
      </c>
      <c r="F147" s="76">
        <f t="shared" si="25"/>
        <v>1550.6399999999999</v>
      </c>
      <c r="G147" s="76"/>
      <c r="H147" s="60"/>
      <c r="K147" s="59"/>
      <c r="L147" s="59"/>
      <c r="M147" s="59"/>
    </row>
    <row r="148" spans="1:13">
      <c r="A148" s="67">
        <v>4.3</v>
      </c>
      <c r="B148" s="66" t="s">
        <v>250</v>
      </c>
      <c r="C148" s="68"/>
      <c r="D148" s="67"/>
      <c r="E148" s="73"/>
      <c r="F148" s="74"/>
      <c r="G148" s="74">
        <f>SUM(F149:F155)</f>
        <v>1593</v>
      </c>
      <c r="H148" s="60"/>
      <c r="K148" s="59"/>
      <c r="L148" s="59"/>
      <c r="M148" s="59"/>
    </row>
    <row r="149" spans="1:13">
      <c r="A149" s="58" t="s">
        <v>352</v>
      </c>
      <c r="B149" s="60" t="s">
        <v>689</v>
      </c>
      <c r="C149" s="57" t="s">
        <v>216</v>
      </c>
      <c r="D149" s="58">
        <v>1</v>
      </c>
      <c r="E149" s="75">
        <v>300</v>
      </c>
      <c r="F149" s="76">
        <f>+D149*E149</f>
        <v>300</v>
      </c>
      <c r="G149" s="76"/>
      <c r="H149" s="60"/>
      <c r="K149" s="59"/>
      <c r="L149" s="59"/>
      <c r="M149" s="59"/>
    </row>
    <row r="150" spans="1:13">
      <c r="A150" s="58" t="s">
        <v>353</v>
      </c>
      <c r="B150" s="60" t="s">
        <v>688</v>
      </c>
      <c r="C150" s="57" t="s">
        <v>216</v>
      </c>
      <c r="D150" s="58">
        <v>1</v>
      </c>
      <c r="E150" s="75">
        <v>300</v>
      </c>
      <c r="F150" s="76">
        <f>+D150*E150</f>
        <v>300</v>
      </c>
      <c r="G150" s="76"/>
      <c r="H150" s="60"/>
      <c r="K150" s="59"/>
      <c r="L150" s="59"/>
      <c r="M150" s="59"/>
    </row>
    <row r="151" spans="1:13">
      <c r="A151" s="58" t="s">
        <v>354</v>
      </c>
      <c r="B151" s="60" t="s">
        <v>690</v>
      </c>
      <c r="C151" s="57" t="s">
        <v>216</v>
      </c>
      <c r="D151" s="58">
        <v>1</v>
      </c>
      <c r="E151" s="75">
        <v>300</v>
      </c>
      <c r="F151" s="76">
        <f>+D151*E151</f>
        <v>300</v>
      </c>
      <c r="G151" s="76"/>
      <c r="H151" s="60"/>
      <c r="K151" s="59"/>
      <c r="L151" s="59"/>
      <c r="M151" s="59"/>
    </row>
    <row r="152" spans="1:13">
      <c r="A152" s="58" t="s">
        <v>674</v>
      </c>
      <c r="B152" s="60" t="s">
        <v>677</v>
      </c>
      <c r="C152" s="57" t="s">
        <v>30</v>
      </c>
      <c r="D152" s="58">
        <v>3</v>
      </c>
      <c r="E152" s="75">
        <v>15</v>
      </c>
      <c r="F152" s="76">
        <f t="shared" ref="F152:F155" si="28">+D152*E152</f>
        <v>45</v>
      </c>
      <c r="G152" s="76"/>
      <c r="H152" s="60"/>
      <c r="K152" s="59"/>
      <c r="L152" s="59"/>
      <c r="M152" s="59"/>
    </row>
    <row r="153" spans="1:13">
      <c r="A153" s="58" t="s">
        <v>675</v>
      </c>
      <c r="B153" s="60" t="s">
        <v>673</v>
      </c>
      <c r="C153" s="57" t="s">
        <v>30</v>
      </c>
      <c r="D153" s="58">
        <v>3</v>
      </c>
      <c r="E153" s="75">
        <v>96</v>
      </c>
      <c r="F153" s="76">
        <f t="shared" ref="F153" si="29">+D153*E153</f>
        <v>288</v>
      </c>
      <c r="G153" s="76"/>
      <c r="H153" s="60"/>
      <c r="K153" s="59"/>
      <c r="L153" s="59"/>
      <c r="M153" s="59"/>
    </row>
    <row r="154" spans="1:13">
      <c r="A154" s="58" t="s">
        <v>676</v>
      </c>
      <c r="B154" s="60" t="s">
        <v>672</v>
      </c>
      <c r="C154" s="57" t="s">
        <v>30</v>
      </c>
      <c r="D154" s="58">
        <v>1</v>
      </c>
      <c r="E154" s="75">
        <v>120</v>
      </c>
      <c r="F154" s="76">
        <f t="shared" si="28"/>
        <v>120</v>
      </c>
      <c r="G154" s="76"/>
      <c r="H154" s="60"/>
      <c r="K154" s="59"/>
      <c r="L154" s="59"/>
      <c r="M154" s="59"/>
    </row>
    <row r="155" spans="1:13">
      <c r="A155" s="58" t="s">
        <v>686</v>
      </c>
      <c r="B155" s="60" t="s">
        <v>687</v>
      </c>
      <c r="C155" s="57" t="s">
        <v>30</v>
      </c>
      <c r="D155" s="58">
        <v>3</v>
      </c>
      <c r="E155" s="75">
        <v>80</v>
      </c>
      <c r="F155" s="76">
        <f t="shared" si="28"/>
        <v>240</v>
      </c>
      <c r="G155" s="76"/>
      <c r="H155" s="60"/>
      <c r="K155" s="59"/>
      <c r="L155" s="59"/>
      <c r="M155" s="59"/>
    </row>
    <row r="156" spans="1:13">
      <c r="A156" s="67">
        <v>4.4000000000000004</v>
      </c>
      <c r="B156" s="66" t="s">
        <v>645</v>
      </c>
      <c r="C156" s="68"/>
      <c r="D156" s="67"/>
      <c r="E156" s="73"/>
      <c r="F156" s="74"/>
      <c r="G156" s="74">
        <f>SUM(F157:F160)</f>
        <v>2400</v>
      </c>
      <c r="H156" s="60"/>
      <c r="K156" s="59"/>
      <c r="L156" s="59"/>
      <c r="M156" s="59"/>
    </row>
    <row r="157" spans="1:13">
      <c r="A157" s="58" t="s">
        <v>643</v>
      </c>
      <c r="B157" s="60" t="s">
        <v>716</v>
      </c>
      <c r="C157" s="57" t="s">
        <v>216</v>
      </c>
      <c r="D157" s="58">
        <v>1</v>
      </c>
      <c r="E157" s="75">
        <v>1200</v>
      </c>
      <c r="F157" s="76">
        <f>+D157*E157</f>
        <v>1200</v>
      </c>
      <c r="G157" s="72"/>
      <c r="H157" s="60"/>
      <c r="K157" s="59"/>
      <c r="L157" s="59"/>
      <c r="M157" s="59"/>
    </row>
    <row r="158" spans="1:13">
      <c r="A158" s="58" t="s">
        <v>644</v>
      </c>
      <c r="B158" s="60" t="s">
        <v>717</v>
      </c>
      <c r="C158" s="57" t="s">
        <v>216</v>
      </c>
      <c r="D158" s="58">
        <v>1</v>
      </c>
      <c r="E158" s="75">
        <v>600</v>
      </c>
      <c r="F158" s="76">
        <f>+D158*E158</f>
        <v>600</v>
      </c>
      <c r="G158" s="72"/>
      <c r="H158" s="60"/>
      <c r="K158" s="59"/>
      <c r="L158" s="59"/>
      <c r="M158" s="59"/>
    </row>
    <row r="159" spans="1:13">
      <c r="A159" s="67">
        <v>4.5</v>
      </c>
      <c r="B159" s="66" t="s">
        <v>718</v>
      </c>
      <c r="C159" s="57"/>
      <c r="D159" s="58"/>
      <c r="E159" s="75"/>
      <c r="F159" s="76"/>
      <c r="G159" s="72"/>
      <c r="H159" s="60"/>
      <c r="K159" s="59"/>
      <c r="L159" s="59"/>
      <c r="M159" s="59"/>
    </row>
    <row r="160" spans="1:13">
      <c r="A160" s="58" t="s">
        <v>729</v>
      </c>
      <c r="B160" s="60" t="s">
        <v>719</v>
      </c>
      <c r="C160" s="57" t="s">
        <v>216</v>
      </c>
      <c r="D160" s="58">
        <v>1</v>
      </c>
      <c r="E160" s="75">
        <v>600</v>
      </c>
      <c r="F160" s="76">
        <f>+D160*E160</f>
        <v>600</v>
      </c>
      <c r="G160" s="72"/>
      <c r="H160" s="60"/>
      <c r="K160" s="59"/>
      <c r="L160" s="59"/>
      <c r="M160" s="59"/>
    </row>
    <row r="161" spans="1:13">
      <c r="A161" s="94">
        <v>5</v>
      </c>
      <c r="B161" s="95" t="s">
        <v>251</v>
      </c>
      <c r="C161" s="96"/>
      <c r="D161" s="97"/>
      <c r="E161" s="107"/>
      <c r="F161" s="108"/>
      <c r="G161" s="99">
        <f>SUM(G162:G203)</f>
        <v>27847.269</v>
      </c>
      <c r="H161" s="60"/>
      <c r="K161" s="59"/>
      <c r="L161" s="59"/>
      <c r="M161" s="59"/>
    </row>
    <row r="162" spans="1:13">
      <c r="A162" s="71">
        <v>5.0999999999999996</v>
      </c>
      <c r="B162" s="69" t="s">
        <v>607</v>
      </c>
      <c r="C162" s="70"/>
      <c r="D162" s="71"/>
      <c r="E162" s="77"/>
      <c r="F162" s="78"/>
      <c r="G162" s="78">
        <f>SUM(F163:F168)</f>
        <v>2161.4050000000002</v>
      </c>
      <c r="H162" s="60"/>
      <c r="K162" s="59"/>
      <c r="L162" s="59"/>
      <c r="M162" s="59"/>
    </row>
    <row r="163" spans="1:13">
      <c r="A163" s="58" t="s">
        <v>609</v>
      </c>
      <c r="B163" s="60" t="s">
        <v>601</v>
      </c>
      <c r="C163" s="57" t="s">
        <v>11</v>
      </c>
      <c r="D163" s="58">
        <v>55.5</v>
      </c>
      <c r="E163" s="75">
        <v>29</v>
      </c>
      <c r="F163" s="76">
        <f>+D163*E163</f>
        <v>1609.5</v>
      </c>
      <c r="G163" s="72"/>
      <c r="H163" s="60"/>
      <c r="K163" s="59"/>
      <c r="L163" s="59"/>
      <c r="M163" s="59"/>
    </row>
    <row r="164" spans="1:13">
      <c r="A164" s="58" t="s">
        <v>609</v>
      </c>
      <c r="B164" s="60" t="s">
        <v>720</v>
      </c>
      <c r="C164" s="57" t="s">
        <v>11</v>
      </c>
      <c r="D164" s="58">
        <v>12.84</v>
      </c>
      <c r="E164" s="75">
        <v>19</v>
      </c>
      <c r="F164" s="76">
        <f>+D164*E164</f>
        <v>243.96</v>
      </c>
      <c r="G164" s="72"/>
      <c r="H164" s="60"/>
      <c r="K164" s="59"/>
      <c r="L164" s="59"/>
      <c r="M164" s="59"/>
    </row>
    <row r="165" spans="1:13">
      <c r="A165" s="58" t="s">
        <v>610</v>
      </c>
      <c r="B165" s="60" t="s">
        <v>602</v>
      </c>
      <c r="C165" s="57" t="s">
        <v>11</v>
      </c>
      <c r="D165" s="58">
        <v>6.69</v>
      </c>
      <c r="E165" s="75">
        <v>10.8</v>
      </c>
      <c r="F165" s="76">
        <f t="shared" ref="F165:F168" si="30">+D165*E165</f>
        <v>72.25200000000001</v>
      </c>
      <c r="G165" s="72"/>
      <c r="H165" s="60"/>
      <c r="K165" s="59"/>
      <c r="L165" s="59"/>
      <c r="M165" s="59"/>
    </row>
    <row r="166" spans="1:13">
      <c r="A166" s="58" t="s">
        <v>611</v>
      </c>
      <c r="B166" s="60" t="s">
        <v>603</v>
      </c>
      <c r="C166" s="57" t="s">
        <v>11</v>
      </c>
      <c r="D166" s="58">
        <v>17.41</v>
      </c>
      <c r="E166" s="75">
        <v>7.7</v>
      </c>
      <c r="F166" s="76">
        <f t="shared" si="30"/>
        <v>134.05700000000002</v>
      </c>
      <c r="G166" s="72"/>
      <c r="H166" s="60"/>
      <c r="K166" s="59"/>
      <c r="L166" s="59"/>
      <c r="M166" s="59"/>
    </row>
    <row r="167" spans="1:13">
      <c r="A167" s="58" t="s">
        <v>612</v>
      </c>
      <c r="B167" s="60" t="s">
        <v>604</v>
      </c>
      <c r="C167" s="57" t="s">
        <v>11</v>
      </c>
      <c r="D167" s="58">
        <v>12.52</v>
      </c>
      <c r="E167" s="75">
        <v>6.2</v>
      </c>
      <c r="F167" s="76">
        <f t="shared" si="30"/>
        <v>77.623999999999995</v>
      </c>
      <c r="G167" s="72"/>
      <c r="H167" s="60"/>
      <c r="K167" s="59"/>
      <c r="L167" s="59"/>
      <c r="M167" s="59"/>
    </row>
    <row r="168" spans="1:13">
      <c r="A168" s="58" t="s">
        <v>613</v>
      </c>
      <c r="B168" s="60" t="s">
        <v>605</v>
      </c>
      <c r="C168" s="57" t="s">
        <v>11</v>
      </c>
      <c r="D168" s="58">
        <v>5.22</v>
      </c>
      <c r="E168" s="75">
        <v>4.5999999999999996</v>
      </c>
      <c r="F168" s="76">
        <f t="shared" si="30"/>
        <v>24.011999999999997</v>
      </c>
      <c r="G168" s="72"/>
      <c r="H168" s="60"/>
      <c r="K168" s="59"/>
      <c r="L168" s="59"/>
      <c r="M168" s="59"/>
    </row>
    <row r="169" spans="1:13">
      <c r="A169" s="71">
        <v>5.0999999999999996</v>
      </c>
      <c r="B169" s="69" t="s">
        <v>608</v>
      </c>
      <c r="C169" s="70"/>
      <c r="D169" s="71"/>
      <c r="E169" s="77"/>
      <c r="F169" s="78"/>
      <c r="G169" s="78">
        <f>SUM(F170:F184)</f>
        <v>10050.555</v>
      </c>
      <c r="H169" s="60"/>
      <c r="K169" s="59"/>
      <c r="L169" s="59"/>
      <c r="M169" s="59"/>
    </row>
    <row r="170" spans="1:13">
      <c r="A170" s="58" t="s">
        <v>289</v>
      </c>
      <c r="B170" s="60" t="s">
        <v>615</v>
      </c>
      <c r="C170" s="57" t="s">
        <v>11</v>
      </c>
      <c r="D170" s="58">
        <v>534.66999999999996</v>
      </c>
      <c r="E170" s="75">
        <v>5.7</v>
      </c>
      <c r="F170" s="76">
        <f t="shared" ref="F170:F193" si="31">+D170*E170</f>
        <v>3047.6189999999997</v>
      </c>
      <c r="G170" s="72"/>
      <c r="H170" s="60"/>
      <c r="K170" s="59"/>
      <c r="L170" s="59"/>
      <c r="M170" s="59"/>
    </row>
    <row r="171" spans="1:13" ht="27.6">
      <c r="A171" s="58" t="s">
        <v>614</v>
      </c>
      <c r="B171" s="60" t="s">
        <v>619</v>
      </c>
      <c r="C171" s="57" t="s">
        <v>11</v>
      </c>
      <c r="D171" s="58">
        <v>172.48</v>
      </c>
      <c r="E171" s="75">
        <v>3.2</v>
      </c>
      <c r="F171" s="76">
        <f t="shared" si="31"/>
        <v>551.93600000000004</v>
      </c>
      <c r="G171" s="72"/>
      <c r="H171" s="60"/>
      <c r="K171" s="59"/>
      <c r="L171" s="59"/>
      <c r="M171" s="59"/>
    </row>
    <row r="172" spans="1:13" ht="27.6">
      <c r="A172" s="58" t="s">
        <v>290</v>
      </c>
      <c r="B172" s="60" t="s">
        <v>662</v>
      </c>
      <c r="C172" s="57" t="s">
        <v>30</v>
      </c>
      <c r="D172" s="58">
        <v>20</v>
      </c>
      <c r="E172" s="75">
        <v>150</v>
      </c>
      <c r="F172" s="76">
        <f t="shared" si="31"/>
        <v>3000</v>
      </c>
      <c r="G172" s="72"/>
      <c r="H172" s="60"/>
      <c r="K172" s="59"/>
      <c r="L172" s="59"/>
      <c r="M172" s="59"/>
    </row>
    <row r="173" spans="1:13" ht="27.6">
      <c r="A173" s="58" t="s">
        <v>291</v>
      </c>
      <c r="B173" s="60" t="s">
        <v>663</v>
      </c>
      <c r="C173" s="57" t="s">
        <v>30</v>
      </c>
      <c r="D173" s="58">
        <v>3</v>
      </c>
      <c r="E173" s="75">
        <v>120</v>
      </c>
      <c r="F173" s="76">
        <f t="shared" si="31"/>
        <v>360</v>
      </c>
      <c r="G173" s="72"/>
      <c r="H173" s="60"/>
      <c r="K173" s="59"/>
      <c r="L173" s="59"/>
      <c r="M173" s="59"/>
    </row>
    <row r="174" spans="1:13">
      <c r="A174" s="58" t="s">
        <v>291</v>
      </c>
      <c r="B174" s="60" t="s">
        <v>646</v>
      </c>
      <c r="C174" s="57" t="s">
        <v>30</v>
      </c>
      <c r="D174" s="58">
        <v>7</v>
      </c>
      <c r="E174" s="75">
        <v>170</v>
      </c>
      <c r="F174" s="76">
        <f t="shared" si="31"/>
        <v>1190</v>
      </c>
      <c r="G174" s="72"/>
      <c r="H174" s="60"/>
      <c r="K174" s="59"/>
      <c r="L174" s="59"/>
      <c r="M174" s="59"/>
    </row>
    <row r="175" spans="1:13" ht="27.6">
      <c r="A175" s="58" t="s">
        <v>355</v>
      </c>
      <c r="B175" s="60" t="s">
        <v>664</v>
      </c>
      <c r="C175" s="57" t="s">
        <v>30</v>
      </c>
      <c r="D175" s="58">
        <v>5</v>
      </c>
      <c r="E175" s="75">
        <v>80</v>
      </c>
      <c r="F175" s="76">
        <f t="shared" si="31"/>
        <v>400</v>
      </c>
      <c r="G175" s="72"/>
      <c r="H175" s="60"/>
      <c r="K175" s="59"/>
      <c r="L175" s="59"/>
      <c r="M175" s="59"/>
    </row>
    <row r="176" spans="1:13">
      <c r="A176" s="58" t="s">
        <v>356</v>
      </c>
      <c r="B176" s="60" t="s">
        <v>665</v>
      </c>
      <c r="C176" s="57" t="s">
        <v>30</v>
      </c>
      <c r="D176" s="58">
        <v>2</v>
      </c>
      <c r="E176" s="75">
        <v>60</v>
      </c>
      <c r="F176" s="76">
        <f t="shared" si="31"/>
        <v>120</v>
      </c>
      <c r="G176" s="72"/>
      <c r="H176" s="60"/>
      <c r="K176" s="59"/>
      <c r="L176" s="59"/>
      <c r="M176" s="59"/>
    </row>
    <row r="177" spans="1:13">
      <c r="A177" s="58" t="s">
        <v>616</v>
      </c>
      <c r="B177" s="60" t="s">
        <v>623</v>
      </c>
      <c r="C177" s="57" t="s">
        <v>30</v>
      </c>
      <c r="D177" s="58">
        <v>10</v>
      </c>
      <c r="E177" s="75">
        <v>28</v>
      </c>
      <c r="F177" s="76">
        <f t="shared" si="31"/>
        <v>280</v>
      </c>
      <c r="G177" s="72"/>
      <c r="H177" s="60"/>
      <c r="K177" s="59"/>
      <c r="L177" s="59"/>
      <c r="M177" s="59"/>
    </row>
    <row r="178" spans="1:13">
      <c r="A178" s="58" t="s">
        <v>617</v>
      </c>
      <c r="B178" s="60" t="s">
        <v>624</v>
      </c>
      <c r="C178" s="57" t="s">
        <v>30</v>
      </c>
      <c r="D178" s="58">
        <v>1</v>
      </c>
      <c r="E178" s="75">
        <v>45</v>
      </c>
      <c r="F178" s="76">
        <f t="shared" si="31"/>
        <v>45</v>
      </c>
      <c r="G178" s="72"/>
      <c r="H178" s="60"/>
      <c r="K178" s="59"/>
      <c r="L178" s="59"/>
      <c r="M178" s="59"/>
    </row>
    <row r="179" spans="1:13">
      <c r="A179" s="58" t="s">
        <v>620</v>
      </c>
      <c r="B179" s="60" t="s">
        <v>625</v>
      </c>
      <c r="C179" s="57" t="s">
        <v>30</v>
      </c>
      <c r="D179" s="58">
        <v>0</v>
      </c>
      <c r="E179" s="75">
        <v>56</v>
      </c>
      <c r="F179" s="76">
        <f t="shared" si="31"/>
        <v>0</v>
      </c>
      <c r="G179" s="72"/>
      <c r="H179" s="60"/>
      <c r="K179" s="59"/>
      <c r="L179" s="59"/>
      <c r="M179" s="59"/>
    </row>
    <row r="180" spans="1:13">
      <c r="A180" s="58" t="s">
        <v>621</v>
      </c>
      <c r="B180" s="60" t="s">
        <v>626</v>
      </c>
      <c r="C180" s="57" t="s">
        <v>30</v>
      </c>
      <c r="D180" s="58">
        <v>2</v>
      </c>
      <c r="E180" s="75">
        <v>32</v>
      </c>
      <c r="F180" s="76">
        <f t="shared" si="31"/>
        <v>64</v>
      </c>
      <c r="G180" s="72"/>
      <c r="H180" s="60"/>
      <c r="K180" s="59"/>
      <c r="L180" s="59"/>
      <c r="M180" s="59"/>
    </row>
    <row r="181" spans="1:13" ht="23.25" customHeight="1">
      <c r="A181" s="58" t="s">
        <v>622</v>
      </c>
      <c r="B181" s="60" t="s">
        <v>631</v>
      </c>
      <c r="C181" s="57" t="s">
        <v>30</v>
      </c>
      <c r="D181" s="58">
        <v>10</v>
      </c>
      <c r="E181" s="75">
        <v>62</v>
      </c>
      <c r="F181" s="76">
        <f t="shared" si="31"/>
        <v>620</v>
      </c>
      <c r="G181" s="72"/>
      <c r="H181" s="60"/>
      <c r="K181" s="59"/>
      <c r="L181" s="59"/>
      <c r="M181" s="59"/>
    </row>
    <row r="182" spans="1:13" ht="23.25" customHeight="1">
      <c r="A182" s="58" t="s">
        <v>628</v>
      </c>
      <c r="B182" s="60" t="s">
        <v>632</v>
      </c>
      <c r="C182" s="57" t="s">
        <v>30</v>
      </c>
      <c r="D182" s="58">
        <v>1</v>
      </c>
      <c r="E182" s="75">
        <v>92</v>
      </c>
      <c r="F182" s="76">
        <f t="shared" si="31"/>
        <v>92</v>
      </c>
      <c r="G182" s="72"/>
      <c r="H182" s="60"/>
      <c r="K182" s="59"/>
      <c r="L182" s="59"/>
      <c r="M182" s="59"/>
    </row>
    <row r="183" spans="1:13" ht="23.25" customHeight="1">
      <c r="A183" s="58" t="s">
        <v>629</v>
      </c>
      <c r="B183" s="60" t="s">
        <v>634</v>
      </c>
      <c r="C183" s="57" t="s">
        <v>30</v>
      </c>
      <c r="D183" s="58">
        <v>0</v>
      </c>
      <c r="E183" s="75">
        <v>102</v>
      </c>
      <c r="F183" s="76">
        <f t="shared" si="31"/>
        <v>0</v>
      </c>
      <c r="G183" s="72"/>
      <c r="H183" s="60"/>
      <c r="K183" s="59"/>
      <c r="L183" s="59"/>
      <c r="M183" s="59"/>
    </row>
    <row r="184" spans="1:13" ht="27.6">
      <c r="A184" s="58" t="s">
        <v>633</v>
      </c>
      <c r="B184" s="60" t="s">
        <v>630</v>
      </c>
      <c r="C184" s="57" t="s">
        <v>30</v>
      </c>
      <c r="D184" s="58">
        <v>2</v>
      </c>
      <c r="E184" s="75">
        <v>140</v>
      </c>
      <c r="F184" s="76">
        <f t="shared" si="31"/>
        <v>280</v>
      </c>
      <c r="G184" s="72"/>
      <c r="H184" s="60"/>
      <c r="K184" s="59"/>
      <c r="L184" s="59"/>
      <c r="M184" s="59"/>
    </row>
    <row r="185" spans="1:13">
      <c r="A185" s="71">
        <v>5.0999999999999996</v>
      </c>
      <c r="B185" s="69" t="s">
        <v>627</v>
      </c>
      <c r="C185" s="70"/>
      <c r="D185" s="71"/>
      <c r="E185" s="77"/>
      <c r="F185" s="78"/>
      <c r="G185" s="74">
        <f>SUM(F186:F195)</f>
        <v>7529.0110000000004</v>
      </c>
      <c r="H185" s="60"/>
      <c r="K185" s="59"/>
      <c r="L185" s="59"/>
      <c r="M185" s="59"/>
    </row>
    <row r="186" spans="1:13">
      <c r="A186" s="58" t="s">
        <v>289</v>
      </c>
      <c r="B186" s="60" t="s">
        <v>635</v>
      </c>
      <c r="C186" s="57" t="s">
        <v>11</v>
      </c>
      <c r="D186" s="58">
        <v>435.29</v>
      </c>
      <c r="E186" s="75">
        <v>5.7</v>
      </c>
      <c r="F186" s="76">
        <f t="shared" si="31"/>
        <v>2481.1530000000002</v>
      </c>
      <c r="G186" s="72"/>
      <c r="H186" s="60"/>
      <c r="K186" s="59"/>
      <c r="L186" s="59"/>
      <c r="M186" s="59"/>
    </row>
    <row r="187" spans="1:13" ht="27.6">
      <c r="A187" s="58" t="s">
        <v>614</v>
      </c>
      <c r="B187" s="60" t="s">
        <v>619</v>
      </c>
      <c r="C187" s="57" t="s">
        <v>11</v>
      </c>
      <c r="D187" s="58">
        <v>147.75</v>
      </c>
      <c r="E187" s="75">
        <v>3.2</v>
      </c>
      <c r="F187" s="76">
        <f t="shared" si="31"/>
        <v>472.8</v>
      </c>
      <c r="G187" s="72"/>
      <c r="H187" s="60"/>
      <c r="K187" s="59"/>
      <c r="L187" s="59"/>
      <c r="M187" s="59"/>
    </row>
    <row r="188" spans="1:13" ht="27.6">
      <c r="A188" s="58" t="s">
        <v>290</v>
      </c>
      <c r="B188" s="60" t="s">
        <v>636</v>
      </c>
      <c r="C188" s="57" t="s">
        <v>11</v>
      </c>
      <c r="D188" s="58">
        <v>17.43</v>
      </c>
      <c r="E188" s="75">
        <v>4.5999999999999996</v>
      </c>
      <c r="F188" s="76">
        <f t="shared" si="31"/>
        <v>80.177999999999997</v>
      </c>
      <c r="G188" s="72"/>
      <c r="H188" s="60"/>
      <c r="K188" s="59"/>
      <c r="L188" s="59"/>
      <c r="M188" s="59"/>
    </row>
    <row r="189" spans="1:13" ht="27.6">
      <c r="A189" s="58" t="s">
        <v>291</v>
      </c>
      <c r="B189" s="60" t="s">
        <v>637</v>
      </c>
      <c r="C189" s="57" t="s">
        <v>11</v>
      </c>
      <c r="D189" s="58">
        <v>14.4</v>
      </c>
      <c r="E189" s="75">
        <v>7.7</v>
      </c>
      <c r="F189" s="76">
        <f t="shared" si="31"/>
        <v>110.88000000000001</v>
      </c>
      <c r="G189" s="72"/>
      <c r="H189" s="60"/>
      <c r="K189" s="59"/>
      <c r="L189" s="59"/>
      <c r="M189" s="59"/>
    </row>
    <row r="190" spans="1:13" ht="27.6">
      <c r="A190" s="58" t="s">
        <v>355</v>
      </c>
      <c r="B190" s="60" t="s">
        <v>641</v>
      </c>
      <c r="C190" s="57" t="s">
        <v>30</v>
      </c>
      <c r="D190" s="58">
        <v>13</v>
      </c>
      <c r="E190" s="75">
        <v>18</v>
      </c>
      <c r="F190" s="76">
        <f t="shared" si="31"/>
        <v>234</v>
      </c>
      <c r="G190" s="72"/>
      <c r="H190" s="60"/>
      <c r="K190" s="59"/>
      <c r="L190" s="59"/>
      <c r="M190" s="59"/>
    </row>
    <row r="191" spans="1:13" ht="27.6">
      <c r="A191" s="58" t="s">
        <v>356</v>
      </c>
      <c r="B191" s="60" t="s">
        <v>642</v>
      </c>
      <c r="C191" s="57" t="s">
        <v>30</v>
      </c>
      <c r="D191" s="58">
        <v>21</v>
      </c>
      <c r="E191" s="75">
        <v>15</v>
      </c>
      <c r="F191" s="76">
        <f t="shared" si="31"/>
        <v>315</v>
      </c>
      <c r="G191" s="72"/>
      <c r="H191" s="60"/>
      <c r="K191" s="59"/>
      <c r="L191" s="59"/>
      <c r="M191" s="59"/>
    </row>
    <row r="192" spans="1:13" ht="27.6">
      <c r="A192" s="58" t="s">
        <v>616</v>
      </c>
      <c r="B192" s="60" t="s">
        <v>639</v>
      </c>
      <c r="C192" s="57" t="s">
        <v>30</v>
      </c>
      <c r="D192" s="58">
        <v>13</v>
      </c>
      <c r="E192" s="75">
        <v>60</v>
      </c>
      <c r="F192" s="76">
        <f t="shared" si="31"/>
        <v>780</v>
      </c>
      <c r="G192" s="72"/>
      <c r="H192" s="60"/>
      <c r="K192" s="59"/>
      <c r="L192" s="59"/>
      <c r="M192" s="59"/>
    </row>
    <row r="193" spans="1:13" ht="27.6">
      <c r="A193" s="58" t="s">
        <v>617</v>
      </c>
      <c r="B193" s="60" t="s">
        <v>638</v>
      </c>
      <c r="C193" s="57" t="s">
        <v>30</v>
      </c>
      <c r="D193" s="58">
        <v>21</v>
      </c>
      <c r="E193" s="75">
        <v>75</v>
      </c>
      <c r="F193" s="76">
        <f t="shared" si="31"/>
        <v>1575</v>
      </c>
      <c r="G193" s="72"/>
      <c r="H193" s="60"/>
      <c r="K193" s="59"/>
      <c r="L193" s="59"/>
      <c r="M193" s="59"/>
    </row>
    <row r="194" spans="1:13" ht="27.6">
      <c r="A194" s="58" t="s">
        <v>629</v>
      </c>
      <c r="B194" s="60" t="s">
        <v>640</v>
      </c>
      <c r="C194" s="57" t="s">
        <v>30</v>
      </c>
      <c r="D194" s="58">
        <v>10</v>
      </c>
      <c r="E194" s="75">
        <v>88</v>
      </c>
      <c r="F194" s="76">
        <f>+D194*E194</f>
        <v>880</v>
      </c>
      <c r="G194" s="72"/>
      <c r="H194" s="60"/>
      <c r="K194" s="59"/>
      <c r="L194" s="59"/>
      <c r="M194" s="59"/>
    </row>
    <row r="195" spans="1:13">
      <c r="A195" s="58" t="s">
        <v>633</v>
      </c>
      <c r="B195" s="60" t="s">
        <v>661</v>
      </c>
      <c r="C195" s="57" t="s">
        <v>30</v>
      </c>
      <c r="D195" s="58">
        <v>8</v>
      </c>
      <c r="E195" s="75">
        <v>75</v>
      </c>
      <c r="F195" s="76">
        <f>+D195*E195</f>
        <v>600</v>
      </c>
      <c r="G195" s="72"/>
      <c r="H195" s="60"/>
      <c r="K195" s="59"/>
      <c r="L195" s="59"/>
      <c r="M195" s="59"/>
    </row>
    <row r="196" spans="1:13">
      <c r="A196" s="67">
        <v>5.2</v>
      </c>
      <c r="B196" s="66" t="s">
        <v>253</v>
      </c>
      <c r="C196" s="68"/>
      <c r="D196" s="67"/>
      <c r="E196" s="73"/>
      <c r="F196" s="74"/>
      <c r="G196" s="74">
        <f>SUM(F197:F201)</f>
        <v>7572.9739999999993</v>
      </c>
      <c r="H196" s="60"/>
      <c r="K196" s="59"/>
      <c r="L196" s="59"/>
      <c r="M196" s="59"/>
    </row>
    <row r="197" spans="1:13">
      <c r="A197" s="58" t="s">
        <v>289</v>
      </c>
      <c r="B197" s="60" t="s">
        <v>254</v>
      </c>
      <c r="C197" s="57" t="s">
        <v>6</v>
      </c>
      <c r="D197" s="58">
        <v>3</v>
      </c>
      <c r="E197" s="75">
        <v>1800</v>
      </c>
      <c r="F197" s="76">
        <f t="shared" ref="F197:F201" si="32">+D197*E197</f>
        <v>5400</v>
      </c>
      <c r="G197" s="76"/>
      <c r="H197" s="60"/>
      <c r="K197" s="59"/>
      <c r="L197" s="59"/>
      <c r="M197" s="59"/>
    </row>
    <row r="198" spans="1:13" ht="27.6">
      <c r="A198" s="58" t="s">
        <v>290</v>
      </c>
      <c r="B198" s="60" t="s">
        <v>255</v>
      </c>
      <c r="C198" s="57" t="s">
        <v>11</v>
      </c>
      <c r="D198" s="58">
        <v>25.47</v>
      </c>
      <c r="E198" s="75">
        <v>60</v>
      </c>
      <c r="F198" s="76">
        <f t="shared" si="32"/>
        <v>1528.1999999999998</v>
      </c>
      <c r="G198" s="76"/>
      <c r="H198" s="60"/>
      <c r="K198" s="59"/>
      <c r="L198" s="59"/>
      <c r="M198" s="59"/>
    </row>
    <row r="199" spans="1:13">
      <c r="A199" s="58" t="s">
        <v>291</v>
      </c>
      <c r="B199" s="60" t="s">
        <v>256</v>
      </c>
      <c r="C199" s="57" t="s">
        <v>11</v>
      </c>
      <c r="D199" s="58">
        <v>10.88</v>
      </c>
      <c r="E199" s="75">
        <v>40</v>
      </c>
      <c r="F199" s="76">
        <f t="shared" si="32"/>
        <v>435.20000000000005</v>
      </c>
      <c r="G199" s="76"/>
      <c r="H199" s="60"/>
      <c r="K199" s="59"/>
      <c r="L199" s="59"/>
      <c r="M199" s="59"/>
    </row>
    <row r="200" spans="1:13">
      <c r="A200" s="58" t="s">
        <v>355</v>
      </c>
      <c r="B200" s="60" t="s">
        <v>257</v>
      </c>
      <c r="C200" s="57" t="s">
        <v>11</v>
      </c>
      <c r="D200" s="58">
        <v>11.85</v>
      </c>
      <c r="E200" s="75">
        <v>15</v>
      </c>
      <c r="F200" s="76">
        <f t="shared" si="32"/>
        <v>177.75</v>
      </c>
      <c r="G200" s="76"/>
      <c r="H200" s="60"/>
      <c r="K200" s="59"/>
      <c r="L200" s="59"/>
      <c r="M200" s="59"/>
    </row>
    <row r="201" spans="1:13">
      <c r="A201" s="58" t="s">
        <v>356</v>
      </c>
      <c r="B201" s="60" t="s">
        <v>279</v>
      </c>
      <c r="C201" s="57" t="s">
        <v>11</v>
      </c>
      <c r="D201" s="58">
        <v>4.68</v>
      </c>
      <c r="E201" s="75">
        <v>6.8</v>
      </c>
      <c r="F201" s="76">
        <f t="shared" si="32"/>
        <v>31.823999999999998</v>
      </c>
      <c r="G201" s="76"/>
      <c r="H201" s="60"/>
      <c r="K201" s="59"/>
      <c r="L201" s="59"/>
      <c r="M201" s="59"/>
    </row>
    <row r="202" spans="1:13">
      <c r="A202" s="67">
        <v>5.3</v>
      </c>
      <c r="B202" s="66" t="s">
        <v>358</v>
      </c>
      <c r="C202" s="68"/>
      <c r="D202" s="67"/>
      <c r="E202" s="73"/>
      <c r="F202" s="74"/>
      <c r="G202" s="74">
        <f>SUM(F203)</f>
        <v>533.32399999999996</v>
      </c>
      <c r="H202" s="60"/>
      <c r="K202" s="59"/>
      <c r="L202" s="59"/>
      <c r="M202" s="59"/>
    </row>
    <row r="203" spans="1:13">
      <c r="A203" s="58" t="s">
        <v>289</v>
      </c>
      <c r="B203" s="60" t="s">
        <v>606</v>
      </c>
      <c r="C203" s="57" t="s">
        <v>11</v>
      </c>
      <c r="D203" s="58">
        <v>86.02</v>
      </c>
      <c r="E203" s="75">
        <v>6.2</v>
      </c>
      <c r="F203" s="76">
        <f t="shared" ref="F203" si="33">+D203*E203</f>
        <v>533.32399999999996</v>
      </c>
      <c r="G203" s="76"/>
      <c r="H203" s="60"/>
      <c r="K203" s="59"/>
      <c r="L203" s="59"/>
      <c r="M203" s="59"/>
    </row>
    <row r="204" spans="1:13">
      <c r="A204" s="94">
        <v>6</v>
      </c>
      <c r="B204" s="95" t="s">
        <v>357</v>
      </c>
      <c r="C204" s="96"/>
      <c r="D204" s="97"/>
      <c r="E204" s="107"/>
      <c r="F204" s="108"/>
      <c r="G204" s="99">
        <f>SUM(F205:F205)</f>
        <v>880.21400000000006</v>
      </c>
      <c r="H204" s="60"/>
      <c r="K204" s="59"/>
      <c r="L204" s="59"/>
      <c r="M204" s="59"/>
    </row>
    <row r="205" spans="1:13" ht="27.6">
      <c r="A205" s="90" t="s">
        <v>292</v>
      </c>
      <c r="B205" s="60" t="s">
        <v>259</v>
      </c>
      <c r="C205" s="57" t="s">
        <v>252</v>
      </c>
      <c r="D205" s="58">
        <v>141.97</v>
      </c>
      <c r="E205" s="75">
        <v>6.2</v>
      </c>
      <c r="F205" s="76">
        <f>+D205*E205</f>
        <v>880.21400000000006</v>
      </c>
      <c r="G205" s="72"/>
      <c r="H205" s="60"/>
      <c r="K205" s="59"/>
      <c r="L205" s="59"/>
      <c r="M205" s="59"/>
    </row>
    <row r="206" spans="1:13">
      <c r="A206" s="94">
        <v>7</v>
      </c>
      <c r="B206" s="95" t="s">
        <v>360</v>
      </c>
      <c r="C206" s="96"/>
      <c r="D206" s="97"/>
      <c r="E206" s="107"/>
      <c r="F206" s="108"/>
      <c r="G206" s="99">
        <f>SUM(F207:F207)</f>
        <v>810.59999999999991</v>
      </c>
      <c r="H206" s="60"/>
      <c r="K206" s="59"/>
      <c r="L206" s="59"/>
      <c r="M206" s="59"/>
    </row>
    <row r="207" spans="1:13" ht="27.6">
      <c r="A207" s="90" t="s">
        <v>361</v>
      </c>
      <c r="B207" s="60" t="s">
        <v>577</v>
      </c>
      <c r="C207" s="57" t="s">
        <v>252</v>
      </c>
      <c r="D207" s="58">
        <v>67.55</v>
      </c>
      <c r="E207" s="75">
        <v>12</v>
      </c>
      <c r="F207" s="76">
        <f>+D207*E207</f>
        <v>810.59999999999991</v>
      </c>
      <c r="G207" s="72"/>
      <c r="H207" s="60"/>
      <c r="K207" s="59"/>
      <c r="L207" s="59"/>
      <c r="M207" s="59"/>
    </row>
    <row r="208" spans="1:13">
      <c r="A208" s="94">
        <v>7</v>
      </c>
      <c r="B208" s="95" t="s">
        <v>721</v>
      </c>
      <c r="C208" s="96"/>
      <c r="D208" s="97"/>
      <c r="E208" s="107"/>
      <c r="F208" s="108"/>
      <c r="G208" s="99">
        <f>SUM(F209:F209)</f>
        <v>7500</v>
      </c>
      <c r="H208" s="60"/>
      <c r="K208" s="59"/>
      <c r="L208" s="59"/>
      <c r="M208" s="59"/>
    </row>
    <row r="209" spans="1:16">
      <c r="A209" s="90" t="s">
        <v>361</v>
      </c>
      <c r="B209" s="60" t="s">
        <v>722</v>
      </c>
      <c r="C209" s="57" t="s">
        <v>215</v>
      </c>
      <c r="D209" s="58">
        <v>1</v>
      </c>
      <c r="E209" s="75">
        <v>7500</v>
      </c>
      <c r="F209" s="76">
        <f>+D209*E209</f>
        <v>7500</v>
      </c>
      <c r="G209" s="72"/>
      <c r="H209" s="60"/>
      <c r="K209" s="59"/>
      <c r="L209" s="59"/>
      <c r="M209" s="59"/>
    </row>
    <row r="210" spans="1:16">
      <c r="A210" s="94">
        <v>8</v>
      </c>
      <c r="B210" s="95" t="s">
        <v>236</v>
      </c>
      <c r="C210" s="96"/>
      <c r="D210" s="97"/>
      <c r="E210" s="107"/>
      <c r="F210" s="108"/>
      <c r="G210" s="99">
        <f>SUM(F211:F212)</f>
        <v>25500</v>
      </c>
      <c r="H210" s="60"/>
      <c r="K210" s="59"/>
      <c r="L210" s="59"/>
      <c r="M210" s="59"/>
    </row>
    <row r="211" spans="1:16">
      <c r="A211" s="90" t="s">
        <v>739</v>
      </c>
      <c r="B211" s="60" t="s">
        <v>738</v>
      </c>
      <c r="C211" s="57" t="s">
        <v>413</v>
      </c>
      <c r="D211" s="58">
        <v>3</v>
      </c>
      <c r="E211" s="75">
        <v>3500</v>
      </c>
      <c r="F211" s="76">
        <f>+D211*E211</f>
        <v>10500</v>
      </c>
      <c r="G211" s="72"/>
      <c r="H211" s="60"/>
      <c r="K211" s="59"/>
      <c r="L211" s="59"/>
      <c r="M211" s="59"/>
    </row>
    <row r="212" spans="1:16">
      <c r="A212" s="90" t="s">
        <v>740</v>
      </c>
      <c r="B212" s="60" t="s">
        <v>741</v>
      </c>
      <c r="C212" s="57" t="s">
        <v>413</v>
      </c>
      <c r="D212" s="58">
        <v>3</v>
      </c>
      <c r="E212" s="75">
        <v>5000</v>
      </c>
      <c r="F212" s="76">
        <f>+D212*E212</f>
        <v>15000</v>
      </c>
      <c r="G212" s="72"/>
      <c r="H212" s="60"/>
      <c r="K212" s="59"/>
      <c r="L212" s="59"/>
      <c r="M212" s="59"/>
    </row>
    <row r="213" spans="1:16" s="62" customFormat="1" ht="14.4">
      <c r="A213" s="181" t="s">
        <v>260</v>
      </c>
      <c r="B213" s="181"/>
      <c r="C213" s="181"/>
      <c r="D213" s="181"/>
      <c r="E213" s="181"/>
      <c r="F213" s="181"/>
      <c r="G213" s="113">
        <f>+G9+G30+G70+G135+G161+G204+G206+G208+G210</f>
        <v>361857.5881625</v>
      </c>
      <c r="H213" s="169"/>
      <c r="I213" s="59"/>
      <c r="J213" s="59"/>
      <c r="K213" s="59"/>
      <c r="L213" s="59"/>
      <c r="M213" s="59"/>
      <c r="N213" s="59"/>
      <c r="O213" s="59"/>
      <c r="P213" s="59"/>
    </row>
    <row r="214" spans="1:16" ht="14.4">
      <c r="A214" s="184" t="s">
        <v>737</v>
      </c>
      <c r="B214" s="184"/>
      <c r="C214" s="184"/>
      <c r="D214" s="184"/>
      <c r="E214" s="184"/>
      <c r="F214" s="184"/>
      <c r="G214" s="114">
        <f>+G213*0.225</f>
        <v>81417.957336562496</v>
      </c>
      <c r="H214" s="61"/>
    </row>
    <row r="215" spans="1:16" s="65" customFormat="1" ht="14.4">
      <c r="A215" s="181" t="s">
        <v>211</v>
      </c>
      <c r="B215" s="181"/>
      <c r="C215" s="181"/>
      <c r="D215" s="181"/>
      <c r="E215" s="181"/>
      <c r="F215" s="181"/>
      <c r="G215" s="113">
        <f>+G214+G213</f>
        <v>443275.54549906251</v>
      </c>
      <c r="H215" s="61"/>
      <c r="I215" s="115"/>
      <c r="J215" s="59"/>
      <c r="M215" s="62"/>
      <c r="N215" s="59"/>
      <c r="O215" s="59"/>
      <c r="P215" s="59"/>
    </row>
    <row r="216" spans="1:16">
      <c r="B216" s="59" t="s">
        <v>732</v>
      </c>
    </row>
    <row r="218" spans="1:16">
      <c r="A218" s="64" t="s">
        <v>733</v>
      </c>
    </row>
    <row r="219" spans="1:16">
      <c r="A219" s="177" t="s">
        <v>734</v>
      </c>
      <c r="B219" s="177"/>
    </row>
    <row r="220" spans="1:16" ht="13.8" customHeight="1">
      <c r="A220" s="177" t="s">
        <v>735</v>
      </c>
      <c r="B220" s="177"/>
    </row>
    <row r="221" spans="1:16" ht="14.4" customHeight="1">
      <c r="A221" s="177" t="s">
        <v>736</v>
      </c>
      <c r="B221" s="177"/>
    </row>
    <row r="222" spans="1:16" ht="14.4" customHeight="1">
      <c r="A222" s="177"/>
      <c r="B222" s="177"/>
    </row>
    <row r="224" spans="1:16">
      <c r="G224" s="174"/>
    </row>
    <row r="225" spans="7:7">
      <c r="G225" s="174"/>
    </row>
  </sheetData>
  <protectedRanges>
    <protectedRange sqref="E4:E5 E6:F6 C4:C6 A4:A6" name="Rango2"/>
  </protectedRanges>
  <mergeCells count="15">
    <mergeCell ref="A219:B219"/>
    <mergeCell ref="A220:B220"/>
    <mergeCell ref="A221:B221"/>
    <mergeCell ref="A222:B222"/>
    <mergeCell ref="A2:G2"/>
    <mergeCell ref="A215:F215"/>
    <mergeCell ref="A4:B4"/>
    <mergeCell ref="A5:B5"/>
    <mergeCell ref="A6:B6"/>
    <mergeCell ref="A213:F213"/>
    <mergeCell ref="A214:F214"/>
    <mergeCell ref="C4:D4"/>
    <mergeCell ref="C5:D5"/>
    <mergeCell ref="C6:D6"/>
    <mergeCell ref="F4:G6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rowBreaks count="1" manualBreakCount="1">
    <brk id="95" max="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2"/>
  <sheetViews>
    <sheetView view="pageBreakPreview" topLeftCell="A3" zoomScale="90" zoomScaleNormal="85" zoomScaleSheetLayoutView="90" workbookViewId="0">
      <pane ySplit="1" topLeftCell="A4" activePane="bottomLeft" state="frozen"/>
      <selection activeCell="A3" sqref="A3"/>
      <selection pane="bottomLeft" activeCell="C13" sqref="C13"/>
    </sheetView>
  </sheetViews>
  <sheetFormatPr baseColWidth="10" defaultRowHeight="14.4"/>
  <cols>
    <col min="1" max="1" width="2.44140625" customWidth="1"/>
    <col min="2" max="2" width="7.5546875" style="16" customWidth="1"/>
    <col min="3" max="3" width="61.6640625" customWidth="1"/>
    <col min="4" max="8" width="10.33203125" customWidth="1"/>
    <col min="9" max="9" width="10.33203125" style="17" customWidth="1"/>
    <col min="10" max="10" width="24.5546875" style="1" customWidth="1"/>
    <col min="11" max="11" width="18.33203125" customWidth="1"/>
  </cols>
  <sheetData>
    <row r="1" spans="2:11" hidden="1"/>
    <row r="2" spans="2:11" ht="28.5" hidden="1" customHeight="1"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2:11" ht="22.5" customHeight="1">
      <c r="B3" s="2" t="s">
        <v>0</v>
      </c>
      <c r="C3" s="2" t="s">
        <v>13</v>
      </c>
      <c r="D3" s="2" t="s">
        <v>14</v>
      </c>
      <c r="E3" s="3" t="s">
        <v>15</v>
      </c>
      <c r="F3" s="3" t="s">
        <v>16</v>
      </c>
      <c r="G3" s="3" t="s">
        <v>17</v>
      </c>
      <c r="H3" s="2" t="s">
        <v>1</v>
      </c>
      <c r="I3" s="2" t="s">
        <v>12</v>
      </c>
      <c r="J3" s="2" t="s">
        <v>41</v>
      </c>
      <c r="K3" s="2" t="s">
        <v>43</v>
      </c>
    </row>
    <row r="4" spans="2:11">
      <c r="B4" s="4">
        <v>1</v>
      </c>
      <c r="C4" s="194" t="s">
        <v>18</v>
      </c>
      <c r="D4" s="195"/>
      <c r="E4" s="195"/>
      <c r="F4" s="195"/>
      <c r="G4" s="195"/>
      <c r="H4" s="195"/>
      <c r="I4" s="5">
        <f>SUM(H5)</f>
        <v>245.79</v>
      </c>
      <c r="J4" s="5" t="s">
        <v>19</v>
      </c>
      <c r="K4" s="5"/>
    </row>
    <row r="5" spans="2:11">
      <c r="B5" s="4"/>
      <c r="C5" s="6" t="s">
        <v>20</v>
      </c>
      <c r="D5" s="7">
        <v>1</v>
      </c>
      <c r="E5" s="8">
        <v>245.79</v>
      </c>
      <c r="F5" s="8" t="s">
        <v>120</v>
      </c>
      <c r="G5" s="8"/>
      <c r="H5" s="9">
        <f>PRODUCT(D5:G5)</f>
        <v>245.79</v>
      </c>
      <c r="I5" s="10"/>
      <c r="J5" s="18" t="s">
        <v>118</v>
      </c>
      <c r="K5" s="19" t="s">
        <v>42</v>
      </c>
    </row>
    <row r="6" spans="2:11">
      <c r="B6" s="4">
        <v>3</v>
      </c>
      <c r="C6" s="194" t="s">
        <v>98</v>
      </c>
      <c r="D6" s="195"/>
      <c r="E6" s="195"/>
      <c r="F6" s="195"/>
      <c r="G6" s="195"/>
      <c r="H6" s="195"/>
      <c r="I6" s="5">
        <f>SUM(H9:H90)</f>
        <v>113.59054499999998</v>
      </c>
      <c r="J6" s="5" t="s">
        <v>21</v>
      </c>
      <c r="K6" s="5"/>
    </row>
    <row r="7" spans="2:11">
      <c r="B7" s="4"/>
      <c r="C7" s="117" t="s">
        <v>99</v>
      </c>
      <c r="D7" s="118"/>
      <c r="E7" s="118"/>
      <c r="F7" s="118"/>
      <c r="G7" s="118"/>
      <c r="H7" s="118"/>
      <c r="I7" s="5"/>
      <c r="J7" s="5"/>
      <c r="K7" s="5"/>
    </row>
    <row r="8" spans="2:11">
      <c r="B8" s="4"/>
      <c r="C8" s="18" t="s">
        <v>2</v>
      </c>
      <c r="D8" s="7"/>
      <c r="E8" s="8"/>
      <c r="F8" s="8"/>
      <c r="G8" s="8"/>
      <c r="I8" s="9">
        <f>SUM(H9:H14)</f>
        <v>5.28</v>
      </c>
      <c r="K8" s="54"/>
    </row>
    <row r="9" spans="2:11">
      <c r="B9" s="4"/>
      <c r="C9" s="30" t="s">
        <v>429</v>
      </c>
      <c r="D9" s="7">
        <v>1</v>
      </c>
      <c r="E9" s="8">
        <v>1.2</v>
      </c>
      <c r="F9" s="8">
        <v>1</v>
      </c>
      <c r="G9" s="8">
        <v>1.1000000000000001</v>
      </c>
      <c r="H9" s="9">
        <f>PRODUCT(D9:G9)</f>
        <v>1.32</v>
      </c>
      <c r="I9" s="10"/>
      <c r="J9" s="18" t="s">
        <v>430</v>
      </c>
      <c r="K9" s="19"/>
    </row>
    <row r="10" spans="2:11">
      <c r="B10" s="4"/>
      <c r="C10" s="30" t="s">
        <v>429</v>
      </c>
      <c r="D10" s="7">
        <v>1</v>
      </c>
      <c r="E10" s="8">
        <v>1.2</v>
      </c>
      <c r="F10" s="8">
        <v>1</v>
      </c>
      <c r="G10" s="8">
        <v>1.1000000000000001</v>
      </c>
      <c r="H10" s="9">
        <f>PRODUCT(D10:G10)</f>
        <v>1.32</v>
      </c>
      <c r="I10" s="10"/>
      <c r="J10" s="18" t="s">
        <v>431</v>
      </c>
      <c r="K10" s="19"/>
    </row>
    <row r="11" spans="2:11">
      <c r="B11" s="4"/>
      <c r="C11" s="30" t="s">
        <v>432</v>
      </c>
      <c r="D11" s="7">
        <v>1</v>
      </c>
      <c r="E11" s="8">
        <v>1.2</v>
      </c>
      <c r="F11" s="8">
        <v>1</v>
      </c>
      <c r="G11" s="8">
        <v>1.1000000000000001</v>
      </c>
      <c r="H11" s="9">
        <f>PRODUCT(D11:G11)</f>
        <v>1.32</v>
      </c>
      <c r="I11" s="10"/>
      <c r="J11" s="18" t="s">
        <v>433</v>
      </c>
      <c r="K11" s="19"/>
    </row>
    <row r="12" spans="2:11">
      <c r="B12" s="4"/>
      <c r="C12" s="30" t="s">
        <v>434</v>
      </c>
      <c r="D12" s="7">
        <v>1</v>
      </c>
      <c r="E12" s="8">
        <v>1.2</v>
      </c>
      <c r="F12" s="8">
        <v>1</v>
      </c>
      <c r="G12" s="8">
        <v>1.1000000000000001</v>
      </c>
      <c r="H12" s="9">
        <f>PRODUCT(D12:G12)</f>
        <v>1.32</v>
      </c>
      <c r="I12" s="10"/>
      <c r="J12" s="18" t="s">
        <v>75</v>
      </c>
      <c r="K12" s="19"/>
    </row>
    <row r="13" spans="2:11">
      <c r="B13" s="4"/>
      <c r="C13" s="30"/>
      <c r="D13" s="7"/>
      <c r="E13" s="8"/>
      <c r="F13" s="8"/>
      <c r="G13" s="8"/>
      <c r="H13" s="9"/>
      <c r="I13" s="10"/>
      <c r="J13" s="18"/>
      <c r="K13" s="19"/>
    </row>
    <row r="14" spans="2:11">
      <c r="B14" s="4"/>
      <c r="C14" s="30"/>
      <c r="D14" s="7"/>
      <c r="E14" s="8"/>
      <c r="F14" s="8"/>
      <c r="G14" s="8"/>
      <c r="H14" s="9"/>
      <c r="I14" s="10"/>
      <c r="J14" s="18"/>
      <c r="K14" s="19"/>
    </row>
    <row r="15" spans="2:11">
      <c r="B15" s="4"/>
      <c r="C15" s="6"/>
      <c r="D15" s="7"/>
      <c r="E15" s="8"/>
      <c r="F15" s="8"/>
      <c r="G15" s="8"/>
      <c r="H15" s="9"/>
      <c r="I15" s="10"/>
      <c r="J15" s="18"/>
      <c r="K15" s="19"/>
    </row>
    <row r="16" spans="2:11">
      <c r="B16" s="4"/>
      <c r="C16" s="18" t="s">
        <v>76</v>
      </c>
      <c r="D16" s="7"/>
      <c r="E16" s="8"/>
      <c r="F16" s="8"/>
      <c r="G16" s="8"/>
      <c r="I16" s="9">
        <f>SUM(H17:H86)</f>
        <v>108.31054499999998</v>
      </c>
      <c r="J16" s="18"/>
      <c r="K16" s="19"/>
    </row>
    <row r="17" spans="2:11">
      <c r="B17" s="4"/>
      <c r="C17" s="6" t="s">
        <v>435</v>
      </c>
      <c r="D17" s="7">
        <v>1</v>
      </c>
      <c r="E17" s="8">
        <v>3.43</v>
      </c>
      <c r="F17" s="8">
        <v>0.5</v>
      </c>
      <c r="G17" s="8">
        <v>0.95</v>
      </c>
      <c r="H17" s="9">
        <f>PRODUCT(D17:G17)</f>
        <v>1.6292500000000001</v>
      </c>
      <c r="I17" s="10"/>
      <c r="J17" s="18" t="s">
        <v>436</v>
      </c>
      <c r="K17" s="19" t="s">
        <v>78</v>
      </c>
    </row>
    <row r="18" spans="2:11">
      <c r="B18" s="4"/>
      <c r="C18" s="6"/>
      <c r="D18" s="7">
        <v>1</v>
      </c>
      <c r="E18" s="8">
        <v>3.4</v>
      </c>
      <c r="F18" s="8">
        <v>0.5</v>
      </c>
      <c r="G18" s="8">
        <v>0.95</v>
      </c>
      <c r="H18" s="9">
        <f t="shared" ref="H18:H30" si="0">PRODUCT(D18:G18)</f>
        <v>1.615</v>
      </c>
      <c r="I18" s="10"/>
      <c r="J18" s="18" t="s">
        <v>437</v>
      </c>
      <c r="K18" s="19" t="s">
        <v>78</v>
      </c>
    </row>
    <row r="19" spans="2:11">
      <c r="B19" s="4"/>
      <c r="C19" s="6"/>
      <c r="D19" s="7">
        <v>1</v>
      </c>
      <c r="E19" s="8">
        <v>3.2</v>
      </c>
      <c r="F19" s="8">
        <v>0.5</v>
      </c>
      <c r="G19" s="8">
        <v>1.25</v>
      </c>
      <c r="H19" s="9">
        <f t="shared" si="0"/>
        <v>2</v>
      </c>
      <c r="I19" s="10"/>
      <c r="J19" s="18" t="s">
        <v>438</v>
      </c>
      <c r="K19" s="19" t="s">
        <v>121</v>
      </c>
    </row>
    <row r="20" spans="2:11">
      <c r="B20" s="4"/>
      <c r="C20" s="6"/>
      <c r="D20" s="7">
        <v>1</v>
      </c>
      <c r="E20" s="8">
        <v>2.4700000000000002</v>
      </c>
      <c r="F20" s="8">
        <v>0.5</v>
      </c>
      <c r="G20" s="8">
        <v>0.95</v>
      </c>
      <c r="H20" s="9">
        <f>PRODUCT(D20:G20)</f>
        <v>1.1732500000000001</v>
      </c>
      <c r="I20" s="10"/>
      <c r="J20" s="18" t="s">
        <v>439</v>
      </c>
      <c r="K20" s="19" t="s">
        <v>78</v>
      </c>
    </row>
    <row r="21" spans="2:11">
      <c r="B21" s="4"/>
      <c r="C21" s="6" t="s">
        <v>93</v>
      </c>
      <c r="D21" s="7">
        <v>1</v>
      </c>
      <c r="E21" s="8">
        <v>0.85</v>
      </c>
      <c r="F21" s="8">
        <v>0.5</v>
      </c>
      <c r="G21" s="8">
        <v>0.95</v>
      </c>
      <c r="H21" s="9">
        <f t="shared" si="0"/>
        <v>0.40375</v>
      </c>
      <c r="I21" s="10"/>
      <c r="J21" s="18" t="s">
        <v>439</v>
      </c>
      <c r="K21" s="19" t="s">
        <v>84</v>
      </c>
    </row>
    <row r="22" spans="2:11">
      <c r="B22" s="4"/>
      <c r="C22" s="6"/>
      <c r="D22" s="7">
        <v>1</v>
      </c>
      <c r="E22" s="8">
        <v>1.1299999999999999</v>
      </c>
      <c r="F22" s="8">
        <v>0.5</v>
      </c>
      <c r="G22" s="8">
        <v>0.95</v>
      </c>
      <c r="H22" s="9">
        <f t="shared" si="0"/>
        <v>0.53674999999999995</v>
      </c>
      <c r="I22" s="10"/>
      <c r="J22" s="18" t="s">
        <v>439</v>
      </c>
      <c r="K22" s="19" t="s">
        <v>83</v>
      </c>
    </row>
    <row r="23" spans="2:11">
      <c r="B23" s="4"/>
      <c r="C23" s="6"/>
      <c r="D23" s="7">
        <v>1</v>
      </c>
      <c r="E23" s="8">
        <v>3.05</v>
      </c>
      <c r="F23" s="8">
        <v>0.5</v>
      </c>
      <c r="G23" s="8">
        <v>0.8</v>
      </c>
      <c r="H23" s="9">
        <f t="shared" si="0"/>
        <v>1.22</v>
      </c>
      <c r="I23" s="10"/>
      <c r="J23" s="18" t="s">
        <v>440</v>
      </c>
      <c r="K23" s="19" t="s">
        <v>94</v>
      </c>
    </row>
    <row r="24" spans="2:11">
      <c r="B24" s="4"/>
      <c r="C24" s="6" t="s">
        <v>92</v>
      </c>
      <c r="D24" s="7">
        <v>1</v>
      </c>
      <c r="E24" s="8">
        <v>3.41</v>
      </c>
      <c r="F24" s="8">
        <v>0.5</v>
      </c>
      <c r="G24" s="8">
        <v>0.95</v>
      </c>
      <c r="H24" s="9">
        <f t="shared" si="0"/>
        <v>1.61975</v>
      </c>
      <c r="I24" s="10"/>
      <c r="J24" s="18" t="s">
        <v>436</v>
      </c>
      <c r="K24" s="19" t="s">
        <v>78</v>
      </c>
    </row>
    <row r="25" spans="2:11">
      <c r="B25" s="4"/>
      <c r="C25" s="6"/>
      <c r="D25" s="7">
        <v>1</v>
      </c>
      <c r="E25" s="8">
        <v>1.35</v>
      </c>
      <c r="F25" s="8">
        <v>0.5</v>
      </c>
      <c r="G25" s="8">
        <v>0.95</v>
      </c>
      <c r="H25" s="9">
        <f t="shared" si="0"/>
        <v>0.64124999999999999</v>
      </c>
      <c r="I25" s="10"/>
      <c r="J25" s="18" t="s">
        <v>437</v>
      </c>
      <c r="K25" s="19" t="s">
        <v>78</v>
      </c>
    </row>
    <row r="26" spans="2:11">
      <c r="B26" s="4"/>
      <c r="C26" s="6"/>
      <c r="D26" s="7">
        <v>1</v>
      </c>
      <c r="E26" s="8">
        <v>1.55</v>
      </c>
      <c r="F26" s="8">
        <v>0.5</v>
      </c>
      <c r="G26" s="8">
        <v>0.95</v>
      </c>
      <c r="H26" s="9">
        <f t="shared" si="0"/>
        <v>0.73624999999999996</v>
      </c>
      <c r="I26" s="10"/>
      <c r="J26" s="18" t="s">
        <v>437</v>
      </c>
      <c r="K26" s="19" t="s">
        <v>83</v>
      </c>
    </row>
    <row r="27" spans="2:11">
      <c r="B27" s="4"/>
      <c r="C27" s="6"/>
      <c r="D27" s="7">
        <v>1</v>
      </c>
      <c r="E27" s="8">
        <v>2.4700000000000002</v>
      </c>
      <c r="F27" s="8">
        <v>0.5</v>
      </c>
      <c r="G27" s="8">
        <v>0.95</v>
      </c>
      <c r="H27" s="9">
        <f t="shared" si="0"/>
        <v>1.1732500000000001</v>
      </c>
      <c r="I27" s="10"/>
      <c r="J27" s="18" t="s">
        <v>441</v>
      </c>
      <c r="K27" s="19" t="s">
        <v>78</v>
      </c>
    </row>
    <row r="28" spans="2:11">
      <c r="B28" s="4"/>
      <c r="C28" s="6"/>
      <c r="D28" s="7">
        <v>1</v>
      </c>
      <c r="E28" s="8">
        <v>3.2</v>
      </c>
      <c r="F28" s="8">
        <v>0.5</v>
      </c>
      <c r="G28" s="8">
        <v>1.25</v>
      </c>
      <c r="H28" s="9">
        <f t="shared" si="0"/>
        <v>2</v>
      </c>
      <c r="I28" s="10"/>
      <c r="J28" s="18" t="s">
        <v>438</v>
      </c>
      <c r="K28" s="19" t="s">
        <v>442</v>
      </c>
    </row>
    <row r="29" spans="2:11">
      <c r="B29" s="4"/>
      <c r="C29" s="6"/>
      <c r="D29" s="7">
        <v>1</v>
      </c>
      <c r="E29" s="8">
        <v>1.1299999999999999</v>
      </c>
      <c r="F29" s="8">
        <v>0.5</v>
      </c>
      <c r="G29" s="8">
        <v>0.95</v>
      </c>
      <c r="H29" s="9">
        <f t="shared" si="0"/>
        <v>0.53674999999999995</v>
      </c>
      <c r="I29" s="10"/>
      <c r="J29" s="18" t="s">
        <v>439</v>
      </c>
      <c r="K29" s="19" t="s">
        <v>84</v>
      </c>
    </row>
    <row r="30" spans="2:11">
      <c r="B30" s="4"/>
      <c r="C30" s="6"/>
      <c r="D30" s="7">
        <v>1</v>
      </c>
      <c r="E30" s="8">
        <v>3.05</v>
      </c>
      <c r="F30" s="8">
        <v>0.5</v>
      </c>
      <c r="G30" s="8">
        <v>0.8</v>
      </c>
      <c r="H30" s="9">
        <f t="shared" si="0"/>
        <v>1.22</v>
      </c>
      <c r="I30" s="10"/>
      <c r="J30" s="18" t="s">
        <v>440</v>
      </c>
      <c r="K30" s="19" t="s">
        <v>94</v>
      </c>
    </row>
    <row r="31" spans="2:11">
      <c r="B31" s="4"/>
      <c r="C31" s="6" t="s">
        <v>90</v>
      </c>
      <c r="D31" s="7">
        <v>1</v>
      </c>
      <c r="E31" s="8">
        <v>0.93</v>
      </c>
      <c r="F31" s="8">
        <v>0.5</v>
      </c>
      <c r="G31" s="8">
        <v>0.95</v>
      </c>
      <c r="H31" s="9">
        <f>PRODUCT(D31:G31)</f>
        <v>0.44174999999999998</v>
      </c>
      <c r="I31" s="10"/>
      <c r="J31" s="18" t="s">
        <v>443</v>
      </c>
      <c r="K31" s="19" t="s">
        <v>84</v>
      </c>
    </row>
    <row r="32" spans="2:11">
      <c r="B32" s="4"/>
      <c r="C32" s="6"/>
      <c r="D32" s="7">
        <v>1</v>
      </c>
      <c r="E32" s="8">
        <v>0.73</v>
      </c>
      <c r="F32" s="8">
        <v>0.5</v>
      </c>
      <c r="G32" s="8">
        <v>0.95</v>
      </c>
      <c r="H32" s="9">
        <f>PRODUCT(D32:G32)</f>
        <v>0.34675</v>
      </c>
      <c r="I32" s="10"/>
      <c r="J32" s="18" t="s">
        <v>443</v>
      </c>
      <c r="K32" s="19" t="s">
        <v>83</v>
      </c>
    </row>
    <row r="33" spans="2:11">
      <c r="B33" s="4"/>
      <c r="C33" s="6"/>
      <c r="D33" s="7">
        <v>1</v>
      </c>
      <c r="E33" s="8">
        <v>0.83</v>
      </c>
      <c r="F33" s="8">
        <v>0.5</v>
      </c>
      <c r="G33" s="8">
        <v>0.95</v>
      </c>
      <c r="H33" s="9">
        <f>PRODUCT(D33:G33)</f>
        <v>0.39424999999999999</v>
      </c>
      <c r="I33" s="10"/>
      <c r="J33" s="18" t="s">
        <v>444</v>
      </c>
      <c r="K33" s="19" t="s">
        <v>84</v>
      </c>
    </row>
    <row r="34" spans="2:11">
      <c r="B34" s="4"/>
      <c r="C34" s="6"/>
      <c r="D34" s="7">
        <v>1</v>
      </c>
      <c r="E34" s="8">
        <v>0.83</v>
      </c>
      <c r="F34" s="8">
        <v>0.5</v>
      </c>
      <c r="G34" s="8">
        <v>0.95</v>
      </c>
      <c r="H34" s="9">
        <f t="shared" ref="H34" si="1">PRODUCT(D34:G34)</f>
        <v>0.39424999999999999</v>
      </c>
      <c r="I34" s="10"/>
      <c r="J34" s="18" t="s">
        <v>444</v>
      </c>
      <c r="K34" s="19" t="s">
        <v>83</v>
      </c>
    </row>
    <row r="35" spans="2:11">
      <c r="B35" s="4"/>
      <c r="C35" s="6"/>
      <c r="D35" s="7">
        <v>1</v>
      </c>
      <c r="E35" s="8">
        <v>0.83</v>
      </c>
      <c r="F35" s="8">
        <v>0.5</v>
      </c>
      <c r="G35" s="8">
        <v>0.95</v>
      </c>
      <c r="H35" s="9">
        <f>PRODUCT(D35:G35)</f>
        <v>0.39424999999999999</v>
      </c>
      <c r="I35" s="10"/>
      <c r="J35" s="18" t="s">
        <v>444</v>
      </c>
      <c r="K35" s="19" t="s">
        <v>83</v>
      </c>
    </row>
    <row r="36" spans="2:11">
      <c r="B36" s="4"/>
      <c r="C36" s="6"/>
      <c r="D36" s="7">
        <v>1</v>
      </c>
      <c r="E36" s="8">
        <v>0.83</v>
      </c>
      <c r="F36" s="8">
        <v>0.5</v>
      </c>
      <c r="G36" s="8">
        <v>0.95</v>
      </c>
      <c r="H36" s="9">
        <f>PRODUCT(D36:G36)</f>
        <v>0.39424999999999999</v>
      </c>
      <c r="I36" s="10"/>
      <c r="J36" s="18" t="s">
        <v>444</v>
      </c>
      <c r="K36" s="19" t="s">
        <v>84</v>
      </c>
    </row>
    <row r="37" spans="2:11">
      <c r="B37" s="4"/>
      <c r="C37" s="6"/>
      <c r="D37" s="7">
        <v>1</v>
      </c>
      <c r="E37" s="8">
        <v>1.88</v>
      </c>
      <c r="F37" s="8">
        <v>0.5</v>
      </c>
      <c r="G37" s="8">
        <v>0.95</v>
      </c>
      <c r="H37" s="9">
        <f t="shared" ref="H37:H54" si="2">PRODUCT(D37:G37)</f>
        <v>0.8929999999999999</v>
      </c>
      <c r="I37" s="10"/>
      <c r="J37" s="18" t="s">
        <v>445</v>
      </c>
      <c r="K37" s="19" t="s">
        <v>83</v>
      </c>
    </row>
    <row r="38" spans="2:11">
      <c r="B38" s="4"/>
      <c r="C38" s="6" t="s">
        <v>89</v>
      </c>
      <c r="D38" s="7">
        <v>1</v>
      </c>
      <c r="E38" s="8">
        <v>2.4700000000000002</v>
      </c>
      <c r="F38" s="8">
        <v>0.5</v>
      </c>
      <c r="G38" s="8">
        <v>0.95</v>
      </c>
      <c r="H38" s="9">
        <f t="shared" si="2"/>
        <v>1.1732500000000001</v>
      </c>
      <c r="I38" s="10"/>
      <c r="J38" s="18" t="s">
        <v>446</v>
      </c>
      <c r="K38" s="19" t="s">
        <v>78</v>
      </c>
    </row>
    <row r="39" spans="2:11">
      <c r="B39" s="4"/>
      <c r="C39" s="6"/>
      <c r="D39" s="7">
        <v>1</v>
      </c>
      <c r="E39" s="8">
        <v>1.65</v>
      </c>
      <c r="F39" s="8">
        <v>0.5</v>
      </c>
      <c r="G39" s="8">
        <v>0.95</v>
      </c>
      <c r="H39" s="9">
        <f t="shared" si="2"/>
        <v>0.78374999999999995</v>
      </c>
      <c r="I39" s="10"/>
      <c r="J39" s="18" t="s">
        <v>443</v>
      </c>
      <c r="K39" s="19" t="s">
        <v>78</v>
      </c>
    </row>
    <row r="40" spans="2:11">
      <c r="B40" s="4"/>
      <c r="C40" s="6"/>
      <c r="D40" s="7">
        <v>1</v>
      </c>
      <c r="E40" s="8">
        <v>1.65</v>
      </c>
      <c r="F40" s="8">
        <v>0.5</v>
      </c>
      <c r="G40" s="8">
        <v>0.95</v>
      </c>
      <c r="H40" s="9">
        <f t="shared" si="2"/>
        <v>0.78374999999999995</v>
      </c>
      <c r="I40" s="10"/>
      <c r="J40" s="18" t="s">
        <v>444</v>
      </c>
      <c r="K40" s="19" t="s">
        <v>78</v>
      </c>
    </row>
    <row r="41" spans="2:11">
      <c r="B41" s="4"/>
      <c r="C41" s="6"/>
      <c r="D41" s="7">
        <v>1</v>
      </c>
      <c r="E41" s="8">
        <v>1.65</v>
      </c>
      <c r="F41" s="8">
        <v>0.5</v>
      </c>
      <c r="G41" s="8">
        <v>0.95</v>
      </c>
      <c r="H41" s="9">
        <f t="shared" si="2"/>
        <v>0.78374999999999995</v>
      </c>
      <c r="I41" s="10"/>
      <c r="J41" s="18" t="s">
        <v>444</v>
      </c>
      <c r="K41" s="19" t="s">
        <v>78</v>
      </c>
    </row>
    <row r="42" spans="2:11">
      <c r="B42" s="4"/>
      <c r="C42" s="6"/>
      <c r="D42" s="7">
        <v>1</v>
      </c>
      <c r="E42" s="8">
        <v>1.88</v>
      </c>
      <c r="F42" s="8">
        <v>0.5</v>
      </c>
      <c r="G42" s="8">
        <v>0.95</v>
      </c>
      <c r="H42" s="9">
        <f t="shared" si="2"/>
        <v>0.8929999999999999</v>
      </c>
      <c r="I42" s="10"/>
      <c r="J42" s="18" t="s">
        <v>445</v>
      </c>
      <c r="K42" s="19" t="s">
        <v>78</v>
      </c>
    </row>
    <row r="43" spans="2:11">
      <c r="B43" s="4"/>
      <c r="C43" t="s">
        <v>447</v>
      </c>
      <c r="D43" s="7">
        <v>1</v>
      </c>
      <c r="E43" s="8">
        <v>2.27</v>
      </c>
      <c r="F43" s="8">
        <v>0.5</v>
      </c>
      <c r="G43" s="8">
        <v>0.95</v>
      </c>
      <c r="H43" s="9">
        <f t="shared" si="2"/>
        <v>1.0782499999999999</v>
      </c>
      <c r="I43" s="10"/>
      <c r="J43" s="18" t="s">
        <v>79</v>
      </c>
      <c r="K43" s="19" t="s">
        <v>78</v>
      </c>
    </row>
    <row r="44" spans="2:11">
      <c r="B44" s="4"/>
      <c r="C44" s="6"/>
      <c r="D44" s="7">
        <v>1</v>
      </c>
      <c r="E44" s="8">
        <v>4.18</v>
      </c>
      <c r="F44" s="8">
        <v>0.5</v>
      </c>
      <c r="G44" s="8">
        <v>0.95</v>
      </c>
      <c r="H44" s="9">
        <f t="shared" si="2"/>
        <v>1.9854999999999998</v>
      </c>
      <c r="I44" s="10"/>
      <c r="J44" s="18" t="s">
        <v>448</v>
      </c>
      <c r="K44" s="19" t="s">
        <v>78</v>
      </c>
    </row>
    <row r="45" spans="2:11">
      <c r="B45" s="4"/>
      <c r="C45" s="6" t="s">
        <v>449</v>
      </c>
      <c r="D45" s="7">
        <v>1</v>
      </c>
      <c r="E45" s="8">
        <v>4.78</v>
      </c>
      <c r="F45" s="8">
        <v>0.5</v>
      </c>
      <c r="G45" s="8">
        <v>0.95</v>
      </c>
      <c r="H45" s="9">
        <f t="shared" si="2"/>
        <v>2.2705000000000002</v>
      </c>
      <c r="I45" s="10"/>
      <c r="J45" s="18" t="s">
        <v>450</v>
      </c>
      <c r="K45" s="19" t="s">
        <v>78</v>
      </c>
    </row>
    <row r="46" spans="2:11">
      <c r="B46" s="4"/>
      <c r="C46" s="6" t="s">
        <v>77</v>
      </c>
      <c r="D46" s="7">
        <v>1</v>
      </c>
      <c r="E46" s="8">
        <v>4.78</v>
      </c>
      <c r="F46" s="8">
        <v>0.5</v>
      </c>
      <c r="G46" s="8">
        <v>0.95</v>
      </c>
      <c r="H46" s="9">
        <f t="shared" si="2"/>
        <v>2.2705000000000002</v>
      </c>
      <c r="I46" s="10"/>
      <c r="J46" s="18" t="s">
        <v>450</v>
      </c>
      <c r="K46" s="19" t="s">
        <v>84</v>
      </c>
    </row>
    <row r="47" spans="2:11">
      <c r="B47" s="4"/>
      <c r="C47" s="6"/>
      <c r="D47" s="7">
        <v>1</v>
      </c>
      <c r="E47" s="8">
        <v>1.08</v>
      </c>
      <c r="F47" s="8">
        <v>0.5</v>
      </c>
      <c r="G47" s="8">
        <v>0.95</v>
      </c>
      <c r="H47" s="9">
        <f t="shared" si="2"/>
        <v>0.51300000000000001</v>
      </c>
      <c r="I47" s="10"/>
      <c r="J47" s="18" t="s">
        <v>79</v>
      </c>
      <c r="K47" s="19" t="s">
        <v>84</v>
      </c>
    </row>
    <row r="48" spans="2:11">
      <c r="B48" s="4"/>
      <c r="C48" s="6" t="s">
        <v>82</v>
      </c>
      <c r="D48" s="7">
        <v>1</v>
      </c>
      <c r="E48" s="8">
        <v>3.48</v>
      </c>
      <c r="F48" s="8">
        <v>0.5</v>
      </c>
      <c r="G48" s="8">
        <v>0.95</v>
      </c>
      <c r="H48" s="9">
        <f t="shared" si="2"/>
        <v>1.653</v>
      </c>
      <c r="I48" s="10"/>
      <c r="J48" s="18" t="s">
        <v>80</v>
      </c>
      <c r="K48" s="19" t="s">
        <v>84</v>
      </c>
    </row>
    <row r="49" spans="2:11">
      <c r="B49" s="4"/>
      <c r="C49" s="6"/>
      <c r="D49" s="7">
        <v>1</v>
      </c>
      <c r="E49" s="8">
        <v>2.5499999999999998</v>
      </c>
      <c r="F49" s="8">
        <v>0.5</v>
      </c>
      <c r="G49" s="8">
        <v>1.25</v>
      </c>
      <c r="H49" s="9">
        <f t="shared" si="2"/>
        <v>1.59375</v>
      </c>
      <c r="I49" s="10"/>
      <c r="J49" s="18" t="s">
        <v>79</v>
      </c>
      <c r="K49" s="19" t="s">
        <v>442</v>
      </c>
    </row>
    <row r="50" spans="2:11">
      <c r="B50" s="4"/>
      <c r="C50" s="6"/>
      <c r="D50" s="7">
        <v>1</v>
      </c>
      <c r="E50" s="8">
        <v>4.34</v>
      </c>
      <c r="F50" s="8">
        <v>0.5</v>
      </c>
      <c r="G50" s="8">
        <v>1.25</v>
      </c>
      <c r="H50" s="9">
        <f t="shared" si="2"/>
        <v>2.7124999999999999</v>
      </c>
      <c r="I50" s="10"/>
      <c r="J50" s="18" t="s">
        <v>448</v>
      </c>
      <c r="K50" s="19" t="s">
        <v>442</v>
      </c>
    </row>
    <row r="51" spans="2:11">
      <c r="B51" s="4"/>
      <c r="C51" s="6" t="s">
        <v>451</v>
      </c>
      <c r="D51" s="7">
        <v>1</v>
      </c>
      <c r="E51" s="8">
        <v>3.48</v>
      </c>
      <c r="F51" s="8">
        <v>0.5</v>
      </c>
      <c r="G51" s="8">
        <v>0.95</v>
      </c>
      <c r="H51" s="9">
        <f t="shared" si="2"/>
        <v>1.653</v>
      </c>
      <c r="I51" s="10"/>
      <c r="J51" s="18" t="s">
        <v>80</v>
      </c>
      <c r="K51" s="19" t="s">
        <v>84</v>
      </c>
    </row>
    <row r="52" spans="2:11">
      <c r="B52" s="4"/>
      <c r="C52" s="6" t="s">
        <v>87</v>
      </c>
      <c r="D52" s="7">
        <v>1</v>
      </c>
      <c r="E52" s="8">
        <v>3.4830000000000001</v>
      </c>
      <c r="F52" s="8">
        <v>0.5</v>
      </c>
      <c r="G52" s="8">
        <v>0.95</v>
      </c>
      <c r="H52" s="9">
        <f t="shared" si="2"/>
        <v>1.654425</v>
      </c>
      <c r="I52" s="10"/>
      <c r="J52" s="18" t="s">
        <v>80</v>
      </c>
      <c r="K52" s="19" t="s">
        <v>84</v>
      </c>
    </row>
    <row r="53" spans="2:11">
      <c r="B53" s="4"/>
      <c r="C53" s="6" t="s">
        <v>452</v>
      </c>
      <c r="D53" s="7">
        <v>1</v>
      </c>
      <c r="E53" s="8">
        <v>1.72</v>
      </c>
      <c r="F53" s="8">
        <v>0.5</v>
      </c>
      <c r="G53" s="8">
        <v>1.25</v>
      </c>
      <c r="H53" s="9">
        <f t="shared" si="2"/>
        <v>1.075</v>
      </c>
      <c r="I53" s="10"/>
      <c r="J53" s="18" t="s">
        <v>79</v>
      </c>
      <c r="K53" s="19" t="s">
        <v>442</v>
      </c>
    </row>
    <row r="54" spans="2:11">
      <c r="B54" s="4"/>
      <c r="C54" s="6"/>
      <c r="D54" s="7">
        <v>1</v>
      </c>
      <c r="E54" s="8">
        <v>1.2</v>
      </c>
      <c r="F54" s="8">
        <v>0.5</v>
      </c>
      <c r="G54" s="8">
        <v>1.25</v>
      </c>
      <c r="H54" s="9">
        <f t="shared" si="2"/>
        <v>0.75</v>
      </c>
      <c r="I54" s="10"/>
      <c r="J54" s="18" t="s">
        <v>79</v>
      </c>
      <c r="K54" s="19" t="s">
        <v>86</v>
      </c>
    </row>
    <row r="55" spans="2:11">
      <c r="B55" s="4"/>
      <c r="C55" s="6"/>
      <c r="D55" s="7">
        <v>1</v>
      </c>
      <c r="E55" s="8">
        <v>4.99</v>
      </c>
      <c r="F55" s="8">
        <v>0.5</v>
      </c>
      <c r="G55" s="8">
        <v>1.25</v>
      </c>
      <c r="H55" s="9">
        <f>PRODUCT(D55:G55)</f>
        <v>3.1187500000000004</v>
      </c>
      <c r="I55" s="10"/>
      <c r="J55" s="18" t="s">
        <v>448</v>
      </c>
      <c r="K55" s="19" t="s">
        <v>442</v>
      </c>
    </row>
    <row r="56" spans="2:11">
      <c r="B56" s="4"/>
      <c r="C56" s="6" t="s">
        <v>453</v>
      </c>
      <c r="D56" s="7">
        <v>1</v>
      </c>
      <c r="E56" s="8">
        <v>0.5</v>
      </c>
      <c r="F56" s="8">
        <v>0.5</v>
      </c>
      <c r="G56" s="8">
        <v>0.95</v>
      </c>
      <c r="H56" s="9">
        <f>PRODUCT(D56:G56)</f>
        <v>0.23749999999999999</v>
      </c>
      <c r="I56" s="10"/>
      <c r="J56" s="18" t="s">
        <v>79</v>
      </c>
      <c r="K56" s="19" t="s">
        <v>84</v>
      </c>
    </row>
    <row r="57" spans="2:11">
      <c r="B57" s="4"/>
      <c r="C57" s="6"/>
      <c r="D57" s="7">
        <v>1</v>
      </c>
      <c r="E57" s="8">
        <v>0.63</v>
      </c>
      <c r="F57" s="8">
        <v>0.5</v>
      </c>
      <c r="G57" s="8">
        <v>0.95</v>
      </c>
      <c r="H57" s="9">
        <f>PRODUCT(D57:G57)</f>
        <v>0.29924999999999996</v>
      </c>
      <c r="I57" s="10"/>
      <c r="J57" s="18" t="s">
        <v>79</v>
      </c>
      <c r="K57" s="19" t="s">
        <v>83</v>
      </c>
    </row>
    <row r="58" spans="2:11">
      <c r="B58" s="4"/>
      <c r="C58" s="6"/>
      <c r="D58" s="7">
        <v>1</v>
      </c>
      <c r="E58" s="8">
        <v>1.33</v>
      </c>
      <c r="F58" s="8">
        <v>0.5</v>
      </c>
      <c r="G58" s="8">
        <v>0.95</v>
      </c>
      <c r="H58" s="9">
        <f>PRODUCT(D58:G58)</f>
        <v>0.63175000000000003</v>
      </c>
      <c r="I58" s="10"/>
      <c r="J58" s="18" t="s">
        <v>79</v>
      </c>
      <c r="K58" s="19" t="s">
        <v>84</v>
      </c>
    </row>
    <row r="59" spans="2:11">
      <c r="B59" s="4"/>
      <c r="C59" s="6" t="s">
        <v>88</v>
      </c>
      <c r="D59" s="7">
        <v>1</v>
      </c>
      <c r="E59" s="8">
        <v>3.48</v>
      </c>
      <c r="F59" s="8">
        <v>0.5</v>
      </c>
      <c r="G59" s="8">
        <v>0.95</v>
      </c>
      <c r="H59" s="9">
        <f t="shared" ref="H59:H62" si="3">PRODUCT(D59:G59)</f>
        <v>1.653</v>
      </c>
      <c r="I59" s="10"/>
      <c r="J59" s="18" t="s">
        <v>80</v>
      </c>
      <c r="K59" s="19" t="s">
        <v>78</v>
      </c>
    </row>
    <row r="60" spans="2:11">
      <c r="B60" s="4"/>
      <c r="C60" s="6"/>
      <c r="D60" s="7">
        <v>1</v>
      </c>
      <c r="E60" s="8">
        <v>1.35</v>
      </c>
      <c r="F60" s="8">
        <v>0.5</v>
      </c>
      <c r="G60" s="8">
        <v>0.95</v>
      </c>
      <c r="H60" s="9">
        <f t="shared" si="3"/>
        <v>0.64124999999999999</v>
      </c>
      <c r="I60" s="10"/>
      <c r="J60" s="18" t="s">
        <v>79</v>
      </c>
      <c r="K60" s="19" t="s">
        <v>78</v>
      </c>
    </row>
    <row r="61" spans="2:11">
      <c r="B61" s="4"/>
      <c r="C61" s="6"/>
      <c r="D61" s="7">
        <v>1</v>
      </c>
      <c r="E61" s="8">
        <v>1.4</v>
      </c>
      <c r="F61" s="8">
        <v>0.5</v>
      </c>
      <c r="G61" s="8">
        <v>0.95</v>
      </c>
      <c r="H61" s="9">
        <f t="shared" si="3"/>
        <v>0.66499999999999992</v>
      </c>
      <c r="I61" s="10"/>
      <c r="J61" s="18" t="s">
        <v>79</v>
      </c>
      <c r="K61" s="19" t="s">
        <v>85</v>
      </c>
    </row>
    <row r="62" spans="2:11">
      <c r="B62" s="4"/>
      <c r="C62" s="6"/>
      <c r="D62" s="7">
        <v>1</v>
      </c>
      <c r="E62" s="8">
        <v>5.24</v>
      </c>
      <c r="F62" s="8">
        <v>0.5</v>
      </c>
      <c r="G62" s="8">
        <v>0.95</v>
      </c>
      <c r="H62" s="9">
        <f t="shared" si="3"/>
        <v>2.4889999999999999</v>
      </c>
      <c r="I62" s="10"/>
      <c r="J62" s="18" t="s">
        <v>448</v>
      </c>
      <c r="K62" s="19" t="s">
        <v>78</v>
      </c>
    </row>
    <row r="63" spans="2:11">
      <c r="B63" s="4"/>
      <c r="C63" s="6"/>
      <c r="D63" s="7"/>
      <c r="E63" s="8"/>
      <c r="F63" s="8"/>
      <c r="G63" s="8"/>
      <c r="H63" s="9"/>
      <c r="I63" s="10"/>
      <c r="J63" s="18"/>
      <c r="K63" s="19"/>
    </row>
    <row r="64" spans="2:11">
      <c r="B64" s="4"/>
      <c r="C64" s="119" t="s">
        <v>95</v>
      </c>
      <c r="D64" s="7"/>
      <c r="E64" s="8"/>
      <c r="F64" s="8"/>
      <c r="G64" s="8"/>
      <c r="H64" s="9"/>
      <c r="I64" s="10"/>
      <c r="J64" s="18"/>
      <c r="K64" s="19"/>
    </row>
    <row r="65" spans="2:11">
      <c r="B65" s="4"/>
      <c r="C65" s="6" t="s">
        <v>96</v>
      </c>
      <c r="D65" s="7">
        <v>1</v>
      </c>
      <c r="E65" s="8">
        <v>4.5</v>
      </c>
      <c r="F65" s="8">
        <v>2.5</v>
      </c>
      <c r="G65" s="8">
        <v>0.2</v>
      </c>
      <c r="H65" s="9">
        <f t="shared" ref="H65:H70" si="4">PRODUCT(D65:G65)</f>
        <v>2.25</v>
      </c>
      <c r="I65" s="10"/>
      <c r="J65" s="18" t="s">
        <v>97</v>
      </c>
      <c r="K65" s="19"/>
    </row>
    <row r="66" spans="2:11">
      <c r="B66" s="4"/>
      <c r="C66" s="40" t="s">
        <v>100</v>
      </c>
      <c r="D66" s="7">
        <v>1</v>
      </c>
      <c r="E66" s="8">
        <f>0.9*2+0.4*2</f>
        <v>2.6</v>
      </c>
      <c r="F66" s="8">
        <v>0.2</v>
      </c>
      <c r="G66" s="8">
        <v>0.2</v>
      </c>
      <c r="H66" s="9">
        <f t="shared" si="4"/>
        <v>0.10400000000000001</v>
      </c>
      <c r="I66" s="10"/>
      <c r="J66" s="18" t="s">
        <v>101</v>
      </c>
      <c r="K66" s="19"/>
    </row>
    <row r="67" spans="2:11">
      <c r="B67" s="4"/>
      <c r="C67" s="40" t="s">
        <v>102</v>
      </c>
      <c r="D67" s="7">
        <v>1</v>
      </c>
      <c r="E67" s="8">
        <v>2.96</v>
      </c>
      <c r="F67" s="8">
        <v>1.39</v>
      </c>
      <c r="G67" s="8">
        <v>0.3</v>
      </c>
      <c r="H67" s="9">
        <f t="shared" si="4"/>
        <v>1.2343199999999999</v>
      </c>
      <c r="I67" s="10"/>
      <c r="J67" s="18"/>
      <c r="K67" s="19"/>
    </row>
    <row r="68" spans="2:11">
      <c r="B68" s="4"/>
      <c r="C68" s="40" t="s">
        <v>117</v>
      </c>
      <c r="D68" s="7">
        <v>1</v>
      </c>
      <c r="E68" s="8">
        <f>1.45*2+3.02*2</f>
        <v>8.94</v>
      </c>
      <c r="F68" s="8">
        <v>0.15</v>
      </c>
      <c r="G68" s="8">
        <v>0.3</v>
      </c>
      <c r="H68" s="9">
        <f t="shared" si="4"/>
        <v>0.40229999999999999</v>
      </c>
      <c r="I68" s="10"/>
      <c r="J68" s="18"/>
      <c r="K68" s="19"/>
    </row>
    <row r="69" spans="2:11">
      <c r="B69" s="4"/>
      <c r="C69" s="40" t="s">
        <v>454</v>
      </c>
      <c r="D69" s="7">
        <v>1</v>
      </c>
      <c r="E69" s="8">
        <v>4.4000000000000004</v>
      </c>
      <c r="F69" s="8">
        <v>0.15</v>
      </c>
      <c r="G69" s="8">
        <v>0.3</v>
      </c>
      <c r="H69" s="9">
        <f t="shared" si="4"/>
        <v>0.19800000000000001</v>
      </c>
      <c r="I69" s="10"/>
      <c r="J69" s="18"/>
      <c r="K69" s="19"/>
    </row>
    <row r="70" spans="2:11">
      <c r="B70" s="4"/>
      <c r="C70" s="6" t="s">
        <v>113</v>
      </c>
      <c r="D70" s="7">
        <v>1</v>
      </c>
      <c r="E70" s="8" t="s">
        <v>116</v>
      </c>
      <c r="F70" s="8">
        <v>1.29</v>
      </c>
      <c r="G70" s="8">
        <v>1.28</v>
      </c>
      <c r="H70" s="9">
        <f t="shared" si="4"/>
        <v>1.6512</v>
      </c>
      <c r="I70" s="10"/>
      <c r="J70" s="18" t="s">
        <v>455</v>
      </c>
      <c r="K70" s="19"/>
    </row>
    <row r="71" spans="2:11">
      <c r="B71" s="4"/>
      <c r="C71" s="6"/>
      <c r="D71" s="7"/>
      <c r="E71" s="8"/>
      <c r="F71" s="8"/>
      <c r="G71" s="8"/>
      <c r="H71" s="9"/>
      <c r="I71" s="10"/>
      <c r="J71" s="18"/>
      <c r="K71" s="19"/>
    </row>
    <row r="72" spans="2:11">
      <c r="B72" s="4"/>
      <c r="C72" s="6" t="s">
        <v>104</v>
      </c>
      <c r="D72" s="7"/>
      <c r="E72" s="8"/>
      <c r="F72" s="8"/>
      <c r="G72" s="8"/>
      <c r="H72" s="9"/>
      <c r="I72" s="10"/>
      <c r="J72" s="18"/>
      <c r="K72" s="19"/>
    </row>
    <row r="73" spans="2:11">
      <c r="B73" s="4"/>
      <c r="C73" s="32" t="s">
        <v>456</v>
      </c>
      <c r="D73" s="7">
        <v>1</v>
      </c>
      <c r="E73" s="8" t="s">
        <v>114</v>
      </c>
      <c r="F73" s="8">
        <v>50.34</v>
      </c>
      <c r="G73" s="8">
        <v>0.35</v>
      </c>
      <c r="H73" s="9">
        <f>PRODUCT(D73:G73)</f>
        <v>17.619</v>
      </c>
      <c r="I73" s="10"/>
      <c r="J73" s="18"/>
      <c r="K73" s="19"/>
    </row>
    <row r="74" spans="2:11">
      <c r="B74" s="4"/>
      <c r="C74" s="33" t="s">
        <v>106</v>
      </c>
      <c r="D74" s="7">
        <v>1</v>
      </c>
      <c r="E74" s="8" t="s">
        <v>114</v>
      </c>
      <c r="F74" s="8">
        <v>21.649000000000001</v>
      </c>
      <c r="G74" s="8">
        <v>0.55000000000000004</v>
      </c>
      <c r="H74" s="9">
        <f>PRODUCT(D74:G74)</f>
        <v>11.906950000000002</v>
      </c>
      <c r="I74" s="10"/>
      <c r="J74" s="18"/>
      <c r="K74" s="19"/>
    </row>
    <row r="75" spans="2:11">
      <c r="B75" s="4"/>
      <c r="C75" s="33" t="s">
        <v>134</v>
      </c>
      <c r="D75" s="7">
        <v>1</v>
      </c>
      <c r="E75" s="8" t="s">
        <v>114</v>
      </c>
      <c r="F75" s="8">
        <v>9.343</v>
      </c>
      <c r="G75" s="8">
        <v>0.35</v>
      </c>
      <c r="H75" s="9">
        <f>PRODUCT(D75:G75)</f>
        <v>3.2700499999999999</v>
      </c>
      <c r="I75" s="10"/>
      <c r="J75" s="18"/>
      <c r="K75" s="19"/>
    </row>
    <row r="76" spans="2:11">
      <c r="B76" s="4"/>
      <c r="C76" s="33" t="s">
        <v>107</v>
      </c>
      <c r="D76" s="7">
        <v>1</v>
      </c>
      <c r="E76" s="8" t="s">
        <v>114</v>
      </c>
      <c r="F76" s="8">
        <v>4.08</v>
      </c>
      <c r="G76" s="8">
        <v>0.35</v>
      </c>
      <c r="H76" s="9">
        <f>PRODUCT(D76:G76)</f>
        <v>1.4279999999999999</v>
      </c>
      <c r="I76" s="10"/>
      <c r="J76" s="18"/>
      <c r="K76" s="19"/>
    </row>
    <row r="77" spans="2:11">
      <c r="B77" s="4"/>
      <c r="C77" s="33" t="s">
        <v>108</v>
      </c>
      <c r="D77" s="7">
        <v>1</v>
      </c>
      <c r="E77" s="8" t="s">
        <v>114</v>
      </c>
      <c r="F77" s="8">
        <v>4.09</v>
      </c>
      <c r="G77" s="8">
        <v>0.35</v>
      </c>
      <c r="H77" s="9">
        <f>PRODUCT(D77:G77)</f>
        <v>1.4314999999999998</v>
      </c>
      <c r="I77" s="10"/>
      <c r="J77" s="18"/>
      <c r="K77" s="19"/>
    </row>
    <row r="78" spans="2:11">
      <c r="B78" s="4"/>
      <c r="C78" s="33" t="s">
        <v>109</v>
      </c>
      <c r="D78" s="7">
        <v>1</v>
      </c>
      <c r="E78" s="8" t="s">
        <v>114</v>
      </c>
      <c r="F78" s="8">
        <v>4.6399999999999997</v>
      </c>
      <c r="G78" s="8">
        <v>0.35</v>
      </c>
      <c r="H78" s="9">
        <f t="shared" ref="H78:H82" si="5">PRODUCT(D78:G78)</f>
        <v>1.6239999999999999</v>
      </c>
      <c r="I78" s="10"/>
      <c r="J78" s="18"/>
      <c r="K78" s="19"/>
    </row>
    <row r="79" spans="2:11">
      <c r="B79" s="4"/>
      <c r="C79" s="33" t="s">
        <v>110</v>
      </c>
      <c r="D79" s="7">
        <v>1</v>
      </c>
      <c r="E79" s="8" t="s">
        <v>114</v>
      </c>
      <c r="F79" s="8">
        <v>4.08</v>
      </c>
      <c r="G79" s="8">
        <v>0.35</v>
      </c>
      <c r="H79" s="9">
        <f t="shared" si="5"/>
        <v>1.4279999999999999</v>
      </c>
      <c r="I79" s="10"/>
      <c r="J79" s="18"/>
      <c r="K79" s="19"/>
    </row>
    <row r="80" spans="2:11">
      <c r="B80" s="4"/>
      <c r="C80" s="33" t="s">
        <v>457</v>
      </c>
      <c r="D80" s="7">
        <v>1</v>
      </c>
      <c r="E80" s="8" t="s">
        <v>114</v>
      </c>
      <c r="F80" s="8">
        <v>14.379</v>
      </c>
      <c r="G80" s="8">
        <v>0.35</v>
      </c>
      <c r="H80" s="9">
        <f t="shared" si="5"/>
        <v>5.0326499999999994</v>
      </c>
      <c r="I80" s="10"/>
      <c r="J80" s="18"/>
      <c r="K80" s="19"/>
    </row>
    <row r="81" spans="2:11">
      <c r="B81" s="4"/>
      <c r="C81" s="33" t="s">
        <v>145</v>
      </c>
      <c r="D81" s="7">
        <v>1</v>
      </c>
      <c r="E81" s="8" t="s">
        <v>114</v>
      </c>
      <c r="F81" s="8">
        <v>1.63</v>
      </c>
      <c r="G81" s="8">
        <v>0.35</v>
      </c>
      <c r="H81" s="9">
        <f t="shared" si="5"/>
        <v>0.5704999999999999</v>
      </c>
      <c r="I81" s="10"/>
      <c r="J81" s="18"/>
      <c r="K81" s="19"/>
    </row>
    <row r="82" spans="2:11">
      <c r="B82" s="4"/>
      <c r="C82" s="33" t="s">
        <v>111</v>
      </c>
      <c r="D82" s="7">
        <v>1</v>
      </c>
      <c r="E82" s="8" t="s">
        <v>114</v>
      </c>
      <c r="F82" s="8">
        <f>10.34-7.45</f>
        <v>2.8899999999999997</v>
      </c>
      <c r="G82" s="8">
        <v>0.35</v>
      </c>
      <c r="H82" s="9">
        <f t="shared" si="5"/>
        <v>1.0114999999999998</v>
      </c>
      <c r="I82" s="10"/>
      <c r="J82" s="18"/>
      <c r="K82" s="19"/>
    </row>
    <row r="83" spans="2:11">
      <c r="B83" s="4"/>
      <c r="C83" s="33"/>
      <c r="D83" s="7"/>
      <c r="E83" s="8"/>
      <c r="F83" s="8"/>
      <c r="G83" s="8"/>
      <c r="H83" s="9"/>
      <c r="I83" s="10"/>
      <c r="J83" s="18"/>
      <c r="K83" s="19"/>
    </row>
    <row r="84" spans="2:11">
      <c r="B84" s="4"/>
      <c r="C84" s="33"/>
      <c r="D84" s="7"/>
      <c r="E84" s="8"/>
      <c r="F84" s="8"/>
      <c r="G84" s="8"/>
      <c r="H84" s="9"/>
      <c r="I84" s="10"/>
      <c r="J84" s="18"/>
      <c r="K84" s="19"/>
    </row>
    <row r="85" spans="2:11">
      <c r="B85" s="4"/>
      <c r="C85" s="33" t="s">
        <v>685</v>
      </c>
      <c r="D85" s="7"/>
      <c r="E85" s="8"/>
      <c r="F85" s="8"/>
      <c r="G85" s="8"/>
      <c r="H85" s="9"/>
      <c r="I85" s="10"/>
      <c r="J85" s="18"/>
      <c r="K85" s="19"/>
    </row>
    <row r="86" spans="2:11">
      <c r="B86" s="4"/>
      <c r="C86" s="33" t="s">
        <v>182</v>
      </c>
      <c r="D86" s="7">
        <v>1</v>
      </c>
      <c r="E86" s="8">
        <v>16.760000000000002</v>
      </c>
      <c r="F86" s="8">
        <v>0.4</v>
      </c>
      <c r="G86" s="8">
        <v>0.6</v>
      </c>
      <c r="H86" s="9">
        <f t="shared" ref="H86" si="6">PRODUCT(D86:G86)</f>
        <v>4.0224000000000002</v>
      </c>
      <c r="I86" s="10"/>
      <c r="J86" s="18"/>
      <c r="K86" s="19"/>
    </row>
    <row r="87" spans="2:11">
      <c r="B87" s="4"/>
      <c r="C87" s="33"/>
      <c r="D87" s="7"/>
      <c r="E87" s="8"/>
      <c r="F87" s="8"/>
      <c r="G87" s="8"/>
      <c r="H87" s="9"/>
      <c r="I87" s="10"/>
      <c r="J87" s="18"/>
      <c r="K87" s="19"/>
    </row>
    <row r="88" spans="2:11">
      <c r="B88" s="4"/>
      <c r="C88" s="33"/>
      <c r="D88" s="7"/>
      <c r="E88" s="8"/>
      <c r="F88" s="8"/>
      <c r="G88" s="8"/>
      <c r="H88" s="9"/>
      <c r="I88" s="10"/>
      <c r="J88" s="18"/>
      <c r="K88" s="19"/>
    </row>
    <row r="89" spans="2:11">
      <c r="B89" s="4"/>
      <c r="C89" s="33"/>
      <c r="D89" s="7"/>
      <c r="E89" s="8"/>
      <c r="F89" s="8"/>
      <c r="G89" s="8"/>
      <c r="H89" s="9"/>
      <c r="I89" s="10"/>
      <c r="J89" s="18"/>
      <c r="K89" s="19"/>
    </row>
    <row r="90" spans="2:11">
      <c r="B90" s="4"/>
      <c r="C90" s="6"/>
      <c r="D90" s="7"/>
      <c r="E90" s="8"/>
      <c r="F90" s="8"/>
      <c r="G90" s="8"/>
      <c r="H90" s="9"/>
      <c r="I90" s="10"/>
      <c r="J90" s="18"/>
      <c r="K90" s="19"/>
    </row>
    <row r="91" spans="2:11">
      <c r="B91" s="4">
        <v>4</v>
      </c>
      <c r="C91" s="194" t="s">
        <v>119</v>
      </c>
      <c r="D91" s="195"/>
      <c r="E91" s="195"/>
      <c r="F91" s="195"/>
      <c r="G91" s="195"/>
      <c r="H91" s="195"/>
      <c r="I91" s="5">
        <f>SUM(H92:H167)</f>
        <v>56.393059999999998</v>
      </c>
      <c r="J91" s="5" t="s">
        <v>21</v>
      </c>
      <c r="K91" s="5"/>
    </row>
    <row r="92" spans="2:11">
      <c r="B92" s="4"/>
      <c r="C92" s="18" t="s">
        <v>2</v>
      </c>
      <c r="D92" s="7"/>
      <c r="E92" s="8"/>
      <c r="F92" s="8"/>
      <c r="G92" s="8"/>
      <c r="H92" s="9"/>
      <c r="I92" s="10"/>
      <c r="K92" s="19"/>
    </row>
    <row r="93" spans="2:11">
      <c r="B93" s="4"/>
      <c r="C93" s="30" t="s">
        <v>429</v>
      </c>
      <c r="D93" s="7">
        <v>1</v>
      </c>
      <c r="E93" s="8">
        <v>1.2</v>
      </c>
      <c r="F93" s="8">
        <v>1</v>
      </c>
      <c r="G93" s="8">
        <v>0.5</v>
      </c>
      <c r="H93" s="9">
        <f t="shared" ref="H93:H97" si="7">PRODUCT(D93:G93)</f>
        <v>0.6</v>
      </c>
      <c r="I93" s="10"/>
      <c r="J93" s="18" t="s">
        <v>430</v>
      </c>
      <c r="K93" s="19"/>
    </row>
    <row r="94" spans="2:11">
      <c r="B94" s="4"/>
      <c r="C94" s="30" t="s">
        <v>429</v>
      </c>
      <c r="D94" s="7">
        <v>1</v>
      </c>
      <c r="E94" s="8">
        <v>1.2</v>
      </c>
      <c r="F94" s="8">
        <v>1</v>
      </c>
      <c r="G94" s="8">
        <v>0.5</v>
      </c>
      <c r="H94" s="9">
        <f t="shared" si="7"/>
        <v>0.6</v>
      </c>
      <c r="I94" s="10"/>
      <c r="J94" s="18" t="s">
        <v>431</v>
      </c>
      <c r="K94" s="19"/>
    </row>
    <row r="95" spans="2:11">
      <c r="B95" s="4"/>
      <c r="C95" s="30" t="s">
        <v>432</v>
      </c>
      <c r="D95" s="7">
        <v>1</v>
      </c>
      <c r="E95" s="8">
        <v>1.2</v>
      </c>
      <c r="F95" s="8">
        <v>1</v>
      </c>
      <c r="G95" s="8">
        <v>0.5</v>
      </c>
      <c r="H95" s="9">
        <f t="shared" si="7"/>
        <v>0.6</v>
      </c>
      <c r="I95" s="10"/>
      <c r="J95" s="18" t="s">
        <v>433</v>
      </c>
      <c r="K95" s="19"/>
    </row>
    <row r="96" spans="2:11">
      <c r="B96" s="4"/>
      <c r="C96" s="30" t="s">
        <v>434</v>
      </c>
      <c r="D96" s="7">
        <v>1</v>
      </c>
      <c r="E96" s="8">
        <v>1.2</v>
      </c>
      <c r="F96" s="8">
        <v>1</v>
      </c>
      <c r="G96" s="8">
        <v>0.5</v>
      </c>
      <c r="H96" s="9">
        <f t="shared" si="7"/>
        <v>0.6</v>
      </c>
      <c r="I96" s="10"/>
      <c r="J96" s="18" t="s">
        <v>75</v>
      </c>
      <c r="K96" s="19"/>
    </row>
    <row r="97" spans="2:11">
      <c r="B97" s="4"/>
      <c r="C97" s="30" t="s">
        <v>458</v>
      </c>
      <c r="D97" s="7">
        <v>-4</v>
      </c>
      <c r="E97" s="8">
        <v>0.25</v>
      </c>
      <c r="F97" s="8">
        <v>0.25</v>
      </c>
      <c r="G97" s="8">
        <v>0.5</v>
      </c>
      <c r="H97" s="9">
        <f t="shared" si="7"/>
        <v>-0.125</v>
      </c>
      <c r="I97" s="10"/>
      <c r="J97" s="18"/>
      <c r="K97" s="19"/>
    </row>
    <row r="98" spans="2:11">
      <c r="B98" s="4"/>
      <c r="C98" s="6"/>
      <c r="D98" s="7"/>
      <c r="E98" s="8"/>
      <c r="F98" s="8"/>
      <c r="G98" s="8"/>
      <c r="H98" s="9"/>
      <c r="I98" s="10"/>
      <c r="J98" s="18"/>
      <c r="K98" s="19"/>
    </row>
    <row r="99" spans="2:11">
      <c r="B99" s="4"/>
      <c r="C99" s="120" t="s">
        <v>76</v>
      </c>
      <c r="D99" s="41"/>
      <c r="E99" s="20"/>
      <c r="F99" s="20"/>
      <c r="G99" s="20"/>
      <c r="H99" s="121"/>
      <c r="I99" s="42"/>
      <c r="J99" s="120"/>
      <c r="K99" s="55"/>
    </row>
    <row r="100" spans="2:11">
      <c r="B100" s="4"/>
      <c r="C100" s="6" t="s">
        <v>435</v>
      </c>
      <c r="D100" s="7">
        <v>1</v>
      </c>
      <c r="E100" s="8">
        <v>3.43</v>
      </c>
      <c r="F100" s="8">
        <v>0.35</v>
      </c>
      <c r="G100" s="8">
        <v>0.4</v>
      </c>
      <c r="H100" s="9">
        <f>PRODUCT(D100:G100)</f>
        <v>0.48019999999999996</v>
      </c>
      <c r="I100" s="10"/>
      <c r="J100" s="18" t="s">
        <v>436</v>
      </c>
      <c r="K100" s="19" t="s">
        <v>78</v>
      </c>
    </row>
    <row r="101" spans="2:11">
      <c r="B101" s="4"/>
      <c r="C101" s="6"/>
      <c r="D101" s="7">
        <v>1</v>
      </c>
      <c r="E101" s="8">
        <v>3.4</v>
      </c>
      <c r="F101" s="8">
        <v>0.35</v>
      </c>
      <c r="G101" s="8">
        <v>0.4</v>
      </c>
      <c r="H101" s="9">
        <f t="shared" ref="H101:H102" si="8">PRODUCT(D101:G101)</f>
        <v>0.47599999999999998</v>
      </c>
      <c r="I101" s="10"/>
      <c r="J101" s="18" t="s">
        <v>437</v>
      </c>
      <c r="K101" s="19" t="s">
        <v>78</v>
      </c>
    </row>
    <row r="102" spans="2:11">
      <c r="B102" s="4"/>
      <c r="C102" s="6"/>
      <c r="D102" s="7">
        <v>0</v>
      </c>
      <c r="E102" s="8">
        <v>3.2</v>
      </c>
      <c r="F102" s="8">
        <v>0.5</v>
      </c>
      <c r="G102" s="8">
        <v>1.25</v>
      </c>
      <c r="H102" s="9">
        <f t="shared" si="8"/>
        <v>0</v>
      </c>
      <c r="I102" s="10"/>
      <c r="J102" s="18" t="s">
        <v>438</v>
      </c>
      <c r="K102" s="19" t="s">
        <v>121</v>
      </c>
    </row>
    <row r="103" spans="2:11">
      <c r="B103" s="4"/>
      <c r="C103" s="6"/>
      <c r="D103" s="7">
        <v>1</v>
      </c>
      <c r="E103" s="8">
        <v>2.4700000000000002</v>
      </c>
      <c r="F103" s="8">
        <v>0.35</v>
      </c>
      <c r="G103" s="8">
        <v>0.4</v>
      </c>
      <c r="H103" s="9">
        <f>PRODUCT(D103:G103)</f>
        <v>0.34580000000000005</v>
      </c>
      <c r="I103" s="10"/>
      <c r="J103" s="18" t="s">
        <v>439</v>
      </c>
      <c r="K103" s="19" t="s">
        <v>78</v>
      </c>
    </row>
    <row r="104" spans="2:11">
      <c r="B104" s="4"/>
      <c r="C104" s="6" t="s">
        <v>93</v>
      </c>
      <c r="D104" s="7">
        <v>1</v>
      </c>
      <c r="E104" s="8">
        <v>0.85</v>
      </c>
      <c r="F104" s="8">
        <v>0.35</v>
      </c>
      <c r="G104" s="8">
        <v>0.4</v>
      </c>
      <c r="H104" s="9">
        <f t="shared" ref="H104:H113" si="9">PRODUCT(D104:G104)</f>
        <v>0.11899999999999999</v>
      </c>
      <c r="I104" s="10"/>
      <c r="J104" s="18" t="s">
        <v>439</v>
      </c>
      <c r="K104" s="19" t="s">
        <v>84</v>
      </c>
    </row>
    <row r="105" spans="2:11">
      <c r="B105" s="4"/>
      <c r="C105" s="6"/>
      <c r="D105" s="7">
        <v>1</v>
      </c>
      <c r="E105" s="8">
        <v>1.1299999999999999</v>
      </c>
      <c r="F105" s="8">
        <v>0.35</v>
      </c>
      <c r="G105" s="8">
        <v>0.4</v>
      </c>
      <c r="H105" s="9">
        <f t="shared" si="9"/>
        <v>0.15820000000000001</v>
      </c>
      <c r="I105" s="10"/>
      <c r="J105" s="18" t="s">
        <v>439</v>
      </c>
      <c r="K105" s="19" t="s">
        <v>83</v>
      </c>
    </row>
    <row r="106" spans="2:11">
      <c r="B106" s="4"/>
      <c r="C106" s="6"/>
      <c r="D106" s="7">
        <v>1</v>
      </c>
      <c r="E106" s="8">
        <v>3.05</v>
      </c>
      <c r="F106" s="8">
        <v>0.35</v>
      </c>
      <c r="G106" s="8">
        <v>0.2</v>
      </c>
      <c r="H106" s="9">
        <f t="shared" si="9"/>
        <v>0.2135</v>
      </c>
      <c r="I106" s="10"/>
      <c r="J106" s="18" t="s">
        <v>440</v>
      </c>
      <c r="K106" s="19" t="s">
        <v>94</v>
      </c>
    </row>
    <row r="107" spans="2:11">
      <c r="B107" s="4"/>
      <c r="C107" s="6" t="s">
        <v>92</v>
      </c>
      <c r="D107" s="7">
        <v>1</v>
      </c>
      <c r="E107" s="8">
        <v>3.41</v>
      </c>
      <c r="F107" s="8">
        <v>0.35</v>
      </c>
      <c r="G107" s="8">
        <v>0.4</v>
      </c>
      <c r="H107" s="9">
        <f t="shared" si="9"/>
        <v>0.47740000000000005</v>
      </c>
      <c r="I107" s="10"/>
      <c r="J107" s="18" t="s">
        <v>436</v>
      </c>
      <c r="K107" s="19" t="s">
        <v>78</v>
      </c>
    </row>
    <row r="108" spans="2:11">
      <c r="B108" s="4"/>
      <c r="C108" s="6"/>
      <c r="D108" s="7">
        <v>1</v>
      </c>
      <c r="E108" s="8">
        <v>1.35</v>
      </c>
      <c r="F108" s="8">
        <v>0.35</v>
      </c>
      <c r="G108" s="8">
        <v>0.4</v>
      </c>
      <c r="H108" s="9">
        <f t="shared" si="9"/>
        <v>0.189</v>
      </c>
      <c r="I108" s="10"/>
      <c r="J108" s="18" t="s">
        <v>437</v>
      </c>
      <c r="K108" s="19" t="s">
        <v>78</v>
      </c>
    </row>
    <row r="109" spans="2:11">
      <c r="B109" s="4"/>
      <c r="C109" s="6"/>
      <c r="D109" s="7">
        <v>1</v>
      </c>
      <c r="E109" s="8">
        <v>1.55</v>
      </c>
      <c r="F109" s="8">
        <v>0.35</v>
      </c>
      <c r="G109" s="8">
        <v>0.4</v>
      </c>
      <c r="H109" s="9">
        <f t="shared" si="9"/>
        <v>0.217</v>
      </c>
      <c r="I109" s="10"/>
      <c r="J109" s="18" t="s">
        <v>437</v>
      </c>
      <c r="K109" s="19" t="s">
        <v>83</v>
      </c>
    </row>
    <row r="110" spans="2:11">
      <c r="B110" s="4"/>
      <c r="C110" s="6"/>
      <c r="D110" s="7">
        <v>1</v>
      </c>
      <c r="E110" s="8">
        <v>2.4700000000000002</v>
      </c>
      <c r="F110" s="8">
        <v>0.35</v>
      </c>
      <c r="G110" s="8">
        <v>0.4</v>
      </c>
      <c r="H110" s="9">
        <f t="shared" si="9"/>
        <v>0.34580000000000005</v>
      </c>
      <c r="I110" s="10"/>
      <c r="J110" s="18" t="s">
        <v>441</v>
      </c>
      <c r="K110" s="19" t="s">
        <v>78</v>
      </c>
    </row>
    <row r="111" spans="2:11">
      <c r="B111" s="4"/>
      <c r="C111" s="6"/>
      <c r="D111" s="7">
        <v>1</v>
      </c>
      <c r="E111" s="8">
        <v>3.2</v>
      </c>
      <c r="F111" s="8">
        <v>0.17499999999999999</v>
      </c>
      <c r="G111" s="8">
        <v>0.7</v>
      </c>
      <c r="H111" s="9">
        <f t="shared" si="9"/>
        <v>0.39199999999999996</v>
      </c>
      <c r="I111" s="10"/>
      <c r="J111" s="18" t="s">
        <v>438</v>
      </c>
      <c r="K111" s="19" t="s">
        <v>442</v>
      </c>
    </row>
    <row r="112" spans="2:11">
      <c r="B112" s="4"/>
      <c r="C112" s="6"/>
      <c r="D112" s="7">
        <v>1</v>
      </c>
      <c r="E112" s="8">
        <v>1.1299999999999999</v>
      </c>
      <c r="F112" s="8">
        <v>0.35</v>
      </c>
      <c r="G112" s="8">
        <v>0.4</v>
      </c>
      <c r="H112" s="9">
        <f t="shared" si="9"/>
        <v>0.15820000000000001</v>
      </c>
      <c r="I112" s="10"/>
      <c r="J112" s="18" t="s">
        <v>439</v>
      </c>
      <c r="K112" s="19" t="s">
        <v>84</v>
      </c>
    </row>
    <row r="113" spans="2:11">
      <c r="B113" s="4"/>
      <c r="C113" s="6"/>
      <c r="D113" s="7">
        <v>1</v>
      </c>
      <c r="E113" s="8">
        <v>3.05</v>
      </c>
      <c r="F113" s="8">
        <v>0.35</v>
      </c>
      <c r="G113" s="8">
        <v>0.2</v>
      </c>
      <c r="H113" s="9">
        <f t="shared" si="9"/>
        <v>0.2135</v>
      </c>
      <c r="I113" s="10"/>
      <c r="J113" s="18" t="s">
        <v>440</v>
      </c>
      <c r="K113" s="19" t="s">
        <v>94</v>
      </c>
    </row>
    <row r="114" spans="2:11">
      <c r="B114" s="4"/>
      <c r="C114" s="6" t="s">
        <v>90</v>
      </c>
      <c r="D114" s="7">
        <v>1</v>
      </c>
      <c r="E114" s="8">
        <v>0.93</v>
      </c>
      <c r="F114" s="8">
        <v>0.35</v>
      </c>
      <c r="G114" s="8">
        <v>0.4</v>
      </c>
      <c r="H114" s="9">
        <f>PRODUCT(D114:G114)</f>
        <v>0.13020000000000001</v>
      </c>
      <c r="I114" s="10"/>
      <c r="J114" s="18" t="s">
        <v>443</v>
      </c>
      <c r="K114" s="19" t="s">
        <v>84</v>
      </c>
    </row>
    <row r="115" spans="2:11">
      <c r="B115" s="4"/>
      <c r="C115" s="6"/>
      <c r="D115" s="7">
        <v>1</v>
      </c>
      <c r="E115" s="8">
        <v>0.73</v>
      </c>
      <c r="F115" s="8">
        <v>0.35</v>
      </c>
      <c r="G115" s="8">
        <v>0.4</v>
      </c>
      <c r="H115" s="9">
        <f>PRODUCT(D115:G115)</f>
        <v>0.10220000000000001</v>
      </c>
      <c r="I115" s="10"/>
      <c r="J115" s="18" t="s">
        <v>443</v>
      </c>
      <c r="K115" s="19" t="s">
        <v>83</v>
      </c>
    </row>
    <row r="116" spans="2:11">
      <c r="B116" s="4"/>
      <c r="C116" s="6"/>
      <c r="D116" s="7">
        <v>1</v>
      </c>
      <c r="E116" s="8">
        <v>0.83</v>
      </c>
      <c r="F116" s="8">
        <v>0.35</v>
      </c>
      <c r="G116" s="8">
        <v>0.4</v>
      </c>
      <c r="H116" s="9">
        <f>PRODUCT(D116:G116)</f>
        <v>0.1162</v>
      </c>
      <c r="I116" s="10"/>
      <c r="J116" s="18" t="s">
        <v>444</v>
      </c>
      <c r="K116" s="19" t="s">
        <v>84</v>
      </c>
    </row>
    <row r="117" spans="2:11">
      <c r="B117" s="4"/>
      <c r="C117" s="6"/>
      <c r="D117" s="7">
        <v>1</v>
      </c>
      <c r="E117" s="8">
        <v>0.83</v>
      </c>
      <c r="F117" s="8">
        <v>0.35</v>
      </c>
      <c r="G117" s="8">
        <v>0.4</v>
      </c>
      <c r="H117" s="9">
        <f t="shared" ref="H117" si="10">PRODUCT(D117:G117)</f>
        <v>0.1162</v>
      </c>
      <c r="I117" s="10"/>
      <c r="J117" s="18" t="s">
        <v>444</v>
      </c>
      <c r="K117" s="19" t="s">
        <v>83</v>
      </c>
    </row>
    <row r="118" spans="2:11">
      <c r="B118" s="4"/>
      <c r="C118" s="6"/>
      <c r="D118" s="7">
        <v>1</v>
      </c>
      <c r="E118" s="8">
        <v>0.83</v>
      </c>
      <c r="F118" s="8">
        <v>0.35</v>
      </c>
      <c r="G118" s="8">
        <v>0.4</v>
      </c>
      <c r="H118" s="9">
        <f>PRODUCT(D118:G118)</f>
        <v>0.1162</v>
      </c>
      <c r="I118" s="10"/>
      <c r="J118" s="18" t="s">
        <v>444</v>
      </c>
      <c r="K118" s="19" t="s">
        <v>83</v>
      </c>
    </row>
    <row r="119" spans="2:11">
      <c r="B119" s="4"/>
      <c r="C119" s="6"/>
      <c r="D119" s="7">
        <v>1</v>
      </c>
      <c r="E119" s="8">
        <v>0.83</v>
      </c>
      <c r="F119" s="8">
        <v>0.35</v>
      </c>
      <c r="G119" s="8">
        <v>0.4</v>
      </c>
      <c r="H119" s="9">
        <f>PRODUCT(D119:G119)</f>
        <v>0.1162</v>
      </c>
      <c r="I119" s="10"/>
      <c r="J119" s="18" t="s">
        <v>444</v>
      </c>
      <c r="K119" s="19" t="s">
        <v>84</v>
      </c>
    </row>
    <row r="120" spans="2:11">
      <c r="B120" s="29"/>
      <c r="C120" s="6"/>
      <c r="D120" s="7">
        <v>1</v>
      </c>
      <c r="E120" s="8">
        <v>1.88</v>
      </c>
      <c r="F120" s="8">
        <v>0.35</v>
      </c>
      <c r="G120" s="8">
        <v>0.4</v>
      </c>
      <c r="H120" s="9">
        <f t="shared" ref="H120:H137" si="11">PRODUCT(D120:G120)</f>
        <v>0.26319999999999999</v>
      </c>
      <c r="I120" s="10"/>
      <c r="J120" s="18" t="s">
        <v>445</v>
      </c>
      <c r="K120" s="19" t="s">
        <v>83</v>
      </c>
    </row>
    <row r="121" spans="2:11">
      <c r="B121" s="4"/>
      <c r="C121" s="6" t="s">
        <v>89</v>
      </c>
      <c r="D121" s="7">
        <v>1</v>
      </c>
      <c r="E121" s="8">
        <v>2.4700000000000002</v>
      </c>
      <c r="F121" s="8">
        <v>0.35</v>
      </c>
      <c r="G121" s="8">
        <v>0.4</v>
      </c>
      <c r="H121" s="9">
        <f t="shared" si="11"/>
        <v>0.34580000000000005</v>
      </c>
      <c r="I121" s="10"/>
      <c r="J121" s="18" t="s">
        <v>446</v>
      </c>
      <c r="K121" s="19" t="s">
        <v>78</v>
      </c>
    </row>
    <row r="122" spans="2:11">
      <c r="B122" s="4"/>
      <c r="C122" s="6"/>
      <c r="D122" s="7">
        <v>1</v>
      </c>
      <c r="E122" s="8">
        <v>1.65</v>
      </c>
      <c r="F122" s="8">
        <v>0.35</v>
      </c>
      <c r="G122" s="8">
        <v>0.4</v>
      </c>
      <c r="H122" s="9">
        <f t="shared" si="11"/>
        <v>0.23099999999999998</v>
      </c>
      <c r="I122" s="10"/>
      <c r="J122" s="18" t="s">
        <v>443</v>
      </c>
      <c r="K122" s="19" t="s">
        <v>78</v>
      </c>
    </row>
    <row r="123" spans="2:11">
      <c r="B123" s="4"/>
      <c r="C123" s="6"/>
      <c r="D123" s="7">
        <v>1</v>
      </c>
      <c r="E123" s="8">
        <v>1.65</v>
      </c>
      <c r="F123" s="8">
        <v>0.35</v>
      </c>
      <c r="G123" s="8">
        <v>0.4</v>
      </c>
      <c r="H123" s="9">
        <f t="shared" si="11"/>
        <v>0.23099999999999998</v>
      </c>
      <c r="I123" s="10"/>
      <c r="J123" s="18" t="s">
        <v>444</v>
      </c>
      <c r="K123" s="19" t="s">
        <v>78</v>
      </c>
    </row>
    <row r="124" spans="2:11">
      <c r="B124" s="4"/>
      <c r="C124" s="6"/>
      <c r="D124" s="7">
        <v>1</v>
      </c>
      <c r="E124" s="8">
        <v>1.65</v>
      </c>
      <c r="F124" s="8">
        <v>0.35</v>
      </c>
      <c r="G124" s="8">
        <v>0.4</v>
      </c>
      <c r="H124" s="9">
        <f t="shared" si="11"/>
        <v>0.23099999999999998</v>
      </c>
      <c r="I124" s="10"/>
      <c r="J124" s="18" t="s">
        <v>444</v>
      </c>
      <c r="K124" s="19" t="s">
        <v>78</v>
      </c>
    </row>
    <row r="125" spans="2:11">
      <c r="B125" s="4"/>
      <c r="C125" s="6"/>
      <c r="D125" s="7">
        <v>1</v>
      </c>
      <c r="E125" s="8">
        <v>1.88</v>
      </c>
      <c r="F125" s="8">
        <v>0.35</v>
      </c>
      <c r="G125" s="8">
        <v>0.4</v>
      </c>
      <c r="H125" s="9">
        <f t="shared" si="11"/>
        <v>0.26319999999999999</v>
      </c>
      <c r="I125" s="10"/>
      <c r="J125" s="18" t="s">
        <v>445</v>
      </c>
      <c r="K125" s="19" t="s">
        <v>78</v>
      </c>
    </row>
    <row r="126" spans="2:11">
      <c r="B126" s="4"/>
      <c r="C126" t="s">
        <v>447</v>
      </c>
      <c r="D126" s="7">
        <v>1</v>
      </c>
      <c r="E126" s="8">
        <v>2.27</v>
      </c>
      <c r="F126" s="8">
        <v>0.35</v>
      </c>
      <c r="G126" s="8">
        <v>0.4</v>
      </c>
      <c r="H126" s="9">
        <f t="shared" si="11"/>
        <v>0.31780000000000003</v>
      </c>
      <c r="I126" s="10"/>
      <c r="J126" s="18" t="s">
        <v>79</v>
      </c>
      <c r="K126" s="19" t="s">
        <v>78</v>
      </c>
    </row>
    <row r="127" spans="2:11">
      <c r="B127" s="4"/>
      <c r="C127" s="6"/>
      <c r="D127" s="7">
        <v>1</v>
      </c>
      <c r="E127" s="8">
        <v>4.18</v>
      </c>
      <c r="F127" s="8">
        <v>0.35</v>
      </c>
      <c r="G127" s="8">
        <v>0.4</v>
      </c>
      <c r="H127" s="9">
        <f t="shared" si="11"/>
        <v>0.58519999999999994</v>
      </c>
      <c r="I127" s="10"/>
      <c r="J127" s="18" t="s">
        <v>448</v>
      </c>
      <c r="K127" s="19" t="s">
        <v>78</v>
      </c>
    </row>
    <row r="128" spans="2:11">
      <c r="B128" s="4"/>
      <c r="C128" s="6" t="s">
        <v>449</v>
      </c>
      <c r="D128" s="7">
        <v>1</v>
      </c>
      <c r="E128" s="8">
        <v>4.78</v>
      </c>
      <c r="F128" s="8">
        <v>0.35</v>
      </c>
      <c r="G128" s="8">
        <v>0.4</v>
      </c>
      <c r="H128" s="9">
        <f t="shared" si="11"/>
        <v>0.66920000000000002</v>
      </c>
      <c r="I128" s="10"/>
      <c r="J128" s="18" t="s">
        <v>450</v>
      </c>
      <c r="K128" s="19" t="s">
        <v>78</v>
      </c>
    </row>
    <row r="129" spans="2:11">
      <c r="B129" s="4"/>
      <c r="C129" s="6" t="s">
        <v>77</v>
      </c>
      <c r="D129" s="7">
        <v>1</v>
      </c>
      <c r="E129" s="8">
        <v>4.78</v>
      </c>
      <c r="F129" s="8">
        <v>0.35</v>
      </c>
      <c r="G129" s="8">
        <v>0.4</v>
      </c>
      <c r="H129" s="9">
        <f t="shared" si="11"/>
        <v>0.66920000000000002</v>
      </c>
      <c r="I129" s="10"/>
      <c r="J129" s="18" t="s">
        <v>450</v>
      </c>
      <c r="K129" s="19" t="s">
        <v>84</v>
      </c>
    </row>
    <row r="130" spans="2:11">
      <c r="B130" s="4"/>
      <c r="C130" s="6"/>
      <c r="D130" s="7">
        <v>1</v>
      </c>
      <c r="E130" s="8">
        <v>1.08</v>
      </c>
      <c r="F130" s="8">
        <v>0.35</v>
      </c>
      <c r="G130" s="8">
        <v>0.4</v>
      </c>
      <c r="H130" s="9">
        <f t="shared" si="11"/>
        <v>0.1512</v>
      </c>
      <c r="I130" s="10"/>
      <c r="J130" s="18" t="s">
        <v>79</v>
      </c>
      <c r="K130" s="19" t="s">
        <v>84</v>
      </c>
    </row>
    <row r="131" spans="2:11">
      <c r="B131" s="4"/>
      <c r="C131" s="6" t="s">
        <v>82</v>
      </c>
      <c r="D131" s="7">
        <v>1</v>
      </c>
      <c r="E131" s="8">
        <v>3.48</v>
      </c>
      <c r="F131" s="8">
        <v>0.35</v>
      </c>
      <c r="G131" s="8">
        <v>0.4</v>
      </c>
      <c r="H131" s="9">
        <f t="shared" si="11"/>
        <v>0.48720000000000002</v>
      </c>
      <c r="I131" s="10"/>
      <c r="J131" s="18" t="s">
        <v>80</v>
      </c>
      <c r="K131" s="19" t="s">
        <v>84</v>
      </c>
    </row>
    <row r="132" spans="2:11">
      <c r="B132" s="4"/>
      <c r="C132" s="6"/>
      <c r="D132" s="7">
        <v>1</v>
      </c>
      <c r="E132" s="8">
        <v>2.5499999999999998</v>
      </c>
      <c r="F132" s="8">
        <v>0.17499999999999999</v>
      </c>
      <c r="G132" s="8">
        <v>0.7</v>
      </c>
      <c r="H132" s="9">
        <f t="shared" si="11"/>
        <v>0.3123749999999999</v>
      </c>
      <c r="I132" s="10"/>
      <c r="J132" s="18" t="s">
        <v>79</v>
      </c>
      <c r="K132" s="19" t="s">
        <v>442</v>
      </c>
    </row>
    <row r="133" spans="2:11">
      <c r="B133" s="4"/>
      <c r="C133" s="6"/>
      <c r="D133" s="7">
        <v>1</v>
      </c>
      <c r="E133" s="8">
        <v>4.34</v>
      </c>
      <c r="F133" s="8">
        <v>0.17499999999999999</v>
      </c>
      <c r="G133" s="8">
        <v>0.7</v>
      </c>
      <c r="H133" s="9">
        <f t="shared" si="11"/>
        <v>0.53164999999999996</v>
      </c>
      <c r="I133" s="10"/>
      <c r="J133" s="18" t="s">
        <v>448</v>
      </c>
      <c r="K133" s="19" t="s">
        <v>442</v>
      </c>
    </row>
    <row r="134" spans="2:11">
      <c r="B134" s="4"/>
      <c r="C134" s="6" t="s">
        <v>451</v>
      </c>
      <c r="D134" s="7">
        <v>1</v>
      </c>
      <c r="E134" s="8">
        <v>3.48</v>
      </c>
      <c r="F134" s="8">
        <v>0.35</v>
      </c>
      <c r="G134" s="8">
        <v>0.4</v>
      </c>
      <c r="H134" s="9">
        <f t="shared" si="11"/>
        <v>0.48720000000000002</v>
      </c>
      <c r="I134" s="10"/>
      <c r="J134" s="18" t="s">
        <v>80</v>
      </c>
      <c r="K134" s="19" t="s">
        <v>84</v>
      </c>
    </row>
    <row r="135" spans="2:11">
      <c r="B135" s="4"/>
      <c r="C135" s="6" t="s">
        <v>87</v>
      </c>
      <c r="D135" s="7">
        <v>1</v>
      </c>
      <c r="E135" s="8">
        <v>3.4830000000000001</v>
      </c>
      <c r="F135" s="8">
        <v>0.35</v>
      </c>
      <c r="G135" s="8">
        <v>0.4</v>
      </c>
      <c r="H135" s="9">
        <f t="shared" si="11"/>
        <v>0.48762</v>
      </c>
      <c r="I135" s="10"/>
      <c r="J135" s="18" t="s">
        <v>80</v>
      </c>
      <c r="K135" s="19" t="s">
        <v>84</v>
      </c>
    </row>
    <row r="136" spans="2:11">
      <c r="B136" s="4"/>
      <c r="C136" s="6" t="s">
        <v>452</v>
      </c>
      <c r="D136" s="7">
        <v>1</v>
      </c>
      <c r="E136" s="8">
        <v>1.72</v>
      </c>
      <c r="F136" s="8">
        <v>0.17499999999999999</v>
      </c>
      <c r="G136" s="8">
        <v>0.7</v>
      </c>
      <c r="H136" s="9">
        <f t="shared" si="11"/>
        <v>0.21069999999999997</v>
      </c>
      <c r="I136" s="10"/>
      <c r="J136" s="18" t="s">
        <v>79</v>
      </c>
      <c r="K136" s="19" t="s">
        <v>442</v>
      </c>
    </row>
    <row r="137" spans="2:11">
      <c r="B137" s="4"/>
      <c r="C137" s="6"/>
      <c r="D137" s="7">
        <v>1</v>
      </c>
      <c r="E137" s="8">
        <v>1.2</v>
      </c>
      <c r="F137" s="8">
        <v>0.17499999999999999</v>
      </c>
      <c r="G137" s="8">
        <v>0.7</v>
      </c>
      <c r="H137" s="9">
        <f t="shared" si="11"/>
        <v>0.14699999999999999</v>
      </c>
      <c r="I137" s="10"/>
      <c r="J137" s="18" t="s">
        <v>79</v>
      </c>
      <c r="K137" s="19" t="s">
        <v>86</v>
      </c>
    </row>
    <row r="138" spans="2:11">
      <c r="B138" s="4"/>
      <c r="C138" s="6"/>
      <c r="D138" s="7">
        <v>1</v>
      </c>
      <c r="E138" s="8">
        <v>4.99</v>
      </c>
      <c r="F138" s="8">
        <v>0.17499999999999999</v>
      </c>
      <c r="G138" s="8">
        <v>0.7</v>
      </c>
      <c r="H138" s="9">
        <f>PRODUCT(D138:G138)</f>
        <v>0.6112749999999999</v>
      </c>
      <c r="I138" s="10"/>
      <c r="J138" s="18" t="s">
        <v>448</v>
      </c>
      <c r="K138" s="19" t="s">
        <v>442</v>
      </c>
    </row>
    <row r="139" spans="2:11">
      <c r="B139" s="4"/>
      <c r="C139" s="6" t="s">
        <v>453</v>
      </c>
      <c r="D139" s="7">
        <v>1</v>
      </c>
      <c r="E139" s="8">
        <v>0.5</v>
      </c>
      <c r="F139" s="8">
        <v>0.35</v>
      </c>
      <c r="G139" s="8">
        <v>0.4</v>
      </c>
      <c r="H139" s="9">
        <f>PRODUCT(D139:G139)</f>
        <v>6.9999999999999993E-2</v>
      </c>
      <c r="I139" s="10"/>
      <c r="J139" s="18" t="s">
        <v>79</v>
      </c>
      <c r="K139" s="19" t="s">
        <v>84</v>
      </c>
    </row>
    <row r="140" spans="2:11">
      <c r="B140" s="4"/>
      <c r="C140" s="6"/>
      <c r="D140" s="7">
        <v>1</v>
      </c>
      <c r="E140" s="8">
        <v>0.63</v>
      </c>
      <c r="F140" s="8">
        <v>0.35</v>
      </c>
      <c r="G140" s="8">
        <v>0.4</v>
      </c>
      <c r="H140" s="9">
        <f>PRODUCT(D140:G140)</f>
        <v>8.8200000000000001E-2</v>
      </c>
      <c r="I140" s="10"/>
      <c r="J140" s="18" t="s">
        <v>79</v>
      </c>
      <c r="K140" s="19" t="s">
        <v>83</v>
      </c>
    </row>
    <row r="141" spans="2:11">
      <c r="B141" s="4"/>
      <c r="C141" s="6"/>
      <c r="D141" s="7">
        <v>1</v>
      </c>
      <c r="E141" s="8">
        <v>1.33</v>
      </c>
      <c r="F141" s="8">
        <v>0.35</v>
      </c>
      <c r="G141" s="8">
        <v>0.4</v>
      </c>
      <c r="H141" s="9">
        <f>PRODUCT(D141:G141)</f>
        <v>0.1862</v>
      </c>
      <c r="I141" s="10"/>
      <c r="J141" s="18" t="s">
        <v>79</v>
      </c>
      <c r="K141" s="19" t="s">
        <v>84</v>
      </c>
    </row>
    <row r="142" spans="2:11">
      <c r="B142" s="4"/>
      <c r="C142" s="6" t="s">
        <v>88</v>
      </c>
      <c r="D142" s="7">
        <v>1</v>
      </c>
      <c r="E142" s="8">
        <v>3.48</v>
      </c>
      <c r="F142" s="8">
        <v>0.35</v>
      </c>
      <c r="G142" s="8">
        <v>0.4</v>
      </c>
      <c r="H142" s="9">
        <f t="shared" ref="H142:H145" si="12">PRODUCT(D142:G142)</f>
        <v>0.48720000000000002</v>
      </c>
      <c r="I142" s="10"/>
      <c r="J142" s="18" t="s">
        <v>80</v>
      </c>
      <c r="K142" s="19" t="s">
        <v>78</v>
      </c>
    </row>
    <row r="143" spans="2:11">
      <c r="B143" s="4"/>
      <c r="C143" s="6"/>
      <c r="D143" s="7">
        <v>1</v>
      </c>
      <c r="E143" s="8">
        <v>1.35</v>
      </c>
      <c r="F143" s="8">
        <v>0.35</v>
      </c>
      <c r="G143" s="8">
        <v>0.4</v>
      </c>
      <c r="H143" s="9">
        <f t="shared" si="12"/>
        <v>0.189</v>
      </c>
      <c r="I143" s="10"/>
      <c r="J143" s="18" t="s">
        <v>79</v>
      </c>
      <c r="K143" s="19" t="s">
        <v>78</v>
      </c>
    </row>
    <row r="144" spans="2:11">
      <c r="B144" s="4"/>
      <c r="C144" s="6"/>
      <c r="D144" s="7">
        <v>1</v>
      </c>
      <c r="E144" s="8">
        <v>1.4</v>
      </c>
      <c r="F144" s="8">
        <v>0.35</v>
      </c>
      <c r="G144" s="8">
        <v>0.4</v>
      </c>
      <c r="H144" s="9">
        <f t="shared" si="12"/>
        <v>0.19599999999999998</v>
      </c>
      <c r="I144" s="10"/>
      <c r="J144" s="18" t="s">
        <v>79</v>
      </c>
      <c r="K144" s="19" t="s">
        <v>85</v>
      </c>
    </row>
    <row r="145" spans="2:11">
      <c r="B145" s="4"/>
      <c r="C145" s="6"/>
      <c r="D145" s="7">
        <v>1</v>
      </c>
      <c r="E145" s="8">
        <v>5.24</v>
      </c>
      <c r="F145" s="8">
        <v>0.35</v>
      </c>
      <c r="G145" s="8">
        <v>0.4</v>
      </c>
      <c r="H145" s="9">
        <f t="shared" si="12"/>
        <v>0.73360000000000003</v>
      </c>
      <c r="I145" s="10"/>
      <c r="J145" s="18" t="s">
        <v>448</v>
      </c>
      <c r="K145" s="19" t="s">
        <v>78</v>
      </c>
    </row>
    <row r="146" spans="2:11">
      <c r="B146" s="4"/>
      <c r="C146" s="6"/>
      <c r="D146" s="7"/>
      <c r="E146" s="8"/>
      <c r="F146" s="8"/>
      <c r="G146" s="8"/>
      <c r="H146" s="9"/>
      <c r="I146" s="10"/>
      <c r="J146" s="18"/>
      <c r="K146" s="19"/>
    </row>
    <row r="147" spans="2:11">
      <c r="B147" s="4"/>
      <c r="C147" s="6"/>
      <c r="D147" s="7"/>
      <c r="E147" s="8"/>
      <c r="F147" s="8"/>
      <c r="G147" s="8"/>
      <c r="H147" s="9"/>
      <c r="I147" s="10"/>
      <c r="J147" s="18"/>
      <c r="K147" s="19"/>
    </row>
    <row r="148" spans="2:11">
      <c r="B148" s="4"/>
      <c r="C148" s="6"/>
      <c r="D148" s="7"/>
      <c r="E148" s="8"/>
      <c r="F148" s="8"/>
      <c r="G148" s="8"/>
      <c r="H148" s="9"/>
      <c r="I148" s="10"/>
      <c r="J148" s="18"/>
      <c r="K148" s="19"/>
    </row>
    <row r="149" spans="2:11">
      <c r="B149" s="4"/>
      <c r="C149" s="31" t="s">
        <v>95</v>
      </c>
      <c r="D149" s="7"/>
      <c r="E149" s="8"/>
      <c r="F149" s="8"/>
      <c r="G149" s="8"/>
      <c r="H149" s="9"/>
      <c r="I149" s="10"/>
      <c r="J149" s="18"/>
      <c r="K149" s="19"/>
    </row>
    <row r="150" spans="2:11">
      <c r="B150" s="4"/>
      <c r="C150" s="6"/>
      <c r="D150" s="7"/>
      <c r="E150" s="20"/>
      <c r="F150" s="20"/>
      <c r="G150" s="20"/>
      <c r="H150" s="9"/>
      <c r="I150" s="10"/>
      <c r="J150" s="18"/>
      <c r="K150" s="19"/>
    </row>
    <row r="151" spans="2:11">
      <c r="B151" s="4"/>
      <c r="C151" s="6" t="s">
        <v>122</v>
      </c>
      <c r="D151" s="7">
        <v>1</v>
      </c>
      <c r="E151" s="20">
        <v>2.96</v>
      </c>
      <c r="F151" s="20">
        <v>1.39</v>
      </c>
      <c r="G151" s="20">
        <v>0.3</v>
      </c>
      <c r="H151" s="9">
        <f>PRODUCT(D151:G151)</f>
        <v>1.2343199999999999</v>
      </c>
      <c r="I151" s="10"/>
      <c r="J151" s="18" t="s">
        <v>103</v>
      </c>
      <c r="K151" s="19"/>
    </row>
    <row r="152" spans="2:11">
      <c r="B152" s="4"/>
      <c r="C152" s="6"/>
      <c r="D152" s="7"/>
      <c r="E152" s="7"/>
      <c r="F152" s="7"/>
      <c r="G152" s="7"/>
      <c r="H152" s="9"/>
      <c r="I152" s="10"/>
      <c r="J152" s="18"/>
      <c r="K152" s="19"/>
    </row>
    <row r="153" spans="2:11">
      <c r="B153" s="4"/>
      <c r="C153" s="6"/>
      <c r="D153" s="7"/>
      <c r="E153" s="8"/>
      <c r="F153" s="8"/>
      <c r="G153" s="8"/>
      <c r="H153" s="9"/>
      <c r="I153" s="10"/>
      <c r="J153" s="18"/>
      <c r="K153" s="19"/>
    </row>
    <row r="154" spans="2:11">
      <c r="B154" s="4"/>
      <c r="C154" s="6" t="s">
        <v>113</v>
      </c>
      <c r="D154" s="7">
        <v>1</v>
      </c>
      <c r="E154" s="8" t="s">
        <v>116</v>
      </c>
      <c r="F154" s="8">
        <v>0.80400000000000005</v>
      </c>
      <c r="G154" s="8">
        <v>1.28</v>
      </c>
      <c r="H154" s="9">
        <f>PRODUCT(D154:G154)</f>
        <v>1.02912</v>
      </c>
      <c r="I154" s="10"/>
      <c r="J154" s="18" t="s">
        <v>115</v>
      </c>
      <c r="K154" s="19"/>
    </row>
    <row r="155" spans="2:11">
      <c r="B155" s="4"/>
      <c r="C155" s="6"/>
      <c r="D155" s="7"/>
      <c r="E155" s="8"/>
      <c r="F155" s="8"/>
      <c r="G155" s="8"/>
      <c r="H155" s="9"/>
      <c r="I155" s="10"/>
      <c r="J155" s="18"/>
      <c r="K155" s="19"/>
    </row>
    <row r="156" spans="2:11">
      <c r="B156" s="4"/>
      <c r="C156" s="6" t="s">
        <v>649</v>
      </c>
      <c r="D156" s="7"/>
      <c r="E156" s="8"/>
      <c r="F156" s="8"/>
      <c r="G156" s="8"/>
      <c r="H156" s="9"/>
      <c r="I156" s="10"/>
      <c r="J156" s="18"/>
      <c r="K156" s="19"/>
    </row>
    <row r="157" spans="2:11">
      <c r="B157" s="4"/>
      <c r="C157" s="32" t="s">
        <v>456</v>
      </c>
      <c r="D157" s="7">
        <v>1</v>
      </c>
      <c r="E157" s="8" t="s">
        <v>114</v>
      </c>
      <c r="F157" s="8">
        <v>50.34</v>
      </c>
      <c r="G157" s="8">
        <v>0.4</v>
      </c>
      <c r="H157" s="9">
        <f>PRODUCT(D157:G157)</f>
        <v>20.136000000000003</v>
      </c>
      <c r="I157" s="10"/>
      <c r="J157" s="18"/>
      <c r="K157" s="19"/>
    </row>
    <row r="158" spans="2:11">
      <c r="B158" s="4"/>
      <c r="C158" s="33"/>
      <c r="D158" s="7"/>
      <c r="E158" s="8"/>
      <c r="F158" s="8"/>
      <c r="G158" s="8"/>
      <c r="H158" s="9"/>
      <c r="I158" s="10"/>
      <c r="J158" s="18"/>
      <c r="K158" s="19"/>
    </row>
    <row r="159" spans="2:11">
      <c r="B159" s="4"/>
      <c r="C159" s="33" t="s">
        <v>134</v>
      </c>
      <c r="D159" s="7">
        <v>1</v>
      </c>
      <c r="E159" s="8" t="s">
        <v>114</v>
      </c>
      <c r="F159" s="8">
        <v>9.343</v>
      </c>
      <c r="G159" s="8">
        <v>0.4</v>
      </c>
      <c r="H159" s="9">
        <f>PRODUCT(D159:G159)</f>
        <v>3.7372000000000001</v>
      </c>
      <c r="I159" s="10"/>
      <c r="J159" s="18"/>
      <c r="K159" s="19"/>
    </row>
    <row r="160" spans="2:11">
      <c r="B160" s="4"/>
      <c r="C160" s="33" t="s">
        <v>107</v>
      </c>
      <c r="D160" s="7">
        <v>1</v>
      </c>
      <c r="E160" s="8" t="s">
        <v>114</v>
      </c>
      <c r="F160" s="8">
        <v>4.08</v>
      </c>
      <c r="G160" s="8">
        <v>0.4</v>
      </c>
      <c r="H160" s="9">
        <f>PRODUCT(D160:G160)</f>
        <v>1.6320000000000001</v>
      </c>
      <c r="I160" s="10"/>
      <c r="J160" s="18"/>
      <c r="K160" s="19"/>
    </row>
    <row r="161" spans="2:11">
      <c r="B161" s="4"/>
      <c r="C161" s="33" t="s">
        <v>108</v>
      </c>
      <c r="D161" s="7">
        <v>1</v>
      </c>
      <c r="E161" s="8" t="s">
        <v>114</v>
      </c>
      <c r="F161" s="8">
        <v>4.09</v>
      </c>
      <c r="G161" s="8">
        <v>0.4</v>
      </c>
      <c r="H161" s="9">
        <f>PRODUCT(D161:G161)</f>
        <v>1.6360000000000001</v>
      </c>
      <c r="I161" s="10"/>
      <c r="J161" s="18"/>
      <c r="K161" s="19"/>
    </row>
    <row r="162" spans="2:11">
      <c r="B162" s="4"/>
      <c r="C162" s="33" t="s">
        <v>109</v>
      </c>
      <c r="D162" s="7">
        <v>1</v>
      </c>
      <c r="E162" s="8" t="s">
        <v>114</v>
      </c>
      <c r="F162" s="8">
        <v>4.6399999999999997</v>
      </c>
      <c r="G162" s="8">
        <v>0.4</v>
      </c>
      <c r="H162" s="9">
        <f t="shared" ref="H162:H166" si="13">PRODUCT(D162:G162)</f>
        <v>1.8559999999999999</v>
      </c>
      <c r="I162" s="10"/>
      <c r="J162" s="18"/>
      <c r="K162" s="19"/>
    </row>
    <row r="163" spans="2:11">
      <c r="B163" s="4"/>
      <c r="C163" s="33" t="s">
        <v>110</v>
      </c>
      <c r="D163" s="7">
        <v>1</v>
      </c>
      <c r="E163" s="8" t="s">
        <v>114</v>
      </c>
      <c r="F163" s="8">
        <v>4.08</v>
      </c>
      <c r="G163" s="8">
        <v>0.4</v>
      </c>
      <c r="H163" s="9">
        <f t="shared" si="13"/>
        <v>1.6320000000000001</v>
      </c>
      <c r="I163" s="10"/>
      <c r="J163" s="18"/>
      <c r="K163" s="19"/>
    </row>
    <row r="164" spans="2:11">
      <c r="B164" s="4"/>
      <c r="C164" s="33" t="s">
        <v>457</v>
      </c>
      <c r="D164" s="7">
        <v>1</v>
      </c>
      <c r="E164" s="8" t="s">
        <v>114</v>
      </c>
      <c r="F164" s="8">
        <v>14.379</v>
      </c>
      <c r="G164" s="8">
        <v>0.4</v>
      </c>
      <c r="H164" s="9">
        <f t="shared" si="13"/>
        <v>5.7515999999999998</v>
      </c>
      <c r="I164" s="10"/>
      <c r="J164" s="18"/>
      <c r="K164" s="19"/>
    </row>
    <row r="165" spans="2:11">
      <c r="B165" s="4"/>
      <c r="C165" s="33" t="s">
        <v>145</v>
      </c>
      <c r="D165" s="7">
        <v>1</v>
      </c>
      <c r="E165" s="8" t="s">
        <v>114</v>
      </c>
      <c r="F165" s="8">
        <v>1.63</v>
      </c>
      <c r="G165" s="8">
        <v>0.4</v>
      </c>
      <c r="H165" s="9">
        <f t="shared" si="13"/>
        <v>0.65200000000000002</v>
      </c>
      <c r="I165" s="10"/>
      <c r="J165" s="18"/>
      <c r="K165" s="19"/>
    </row>
    <row r="166" spans="2:11">
      <c r="B166" s="4"/>
      <c r="C166" s="33" t="s">
        <v>111</v>
      </c>
      <c r="D166" s="7">
        <v>1</v>
      </c>
      <c r="E166" s="8" t="s">
        <v>114</v>
      </c>
      <c r="F166" s="8">
        <f>10.34-7.45</f>
        <v>2.8899999999999997</v>
      </c>
      <c r="G166" s="8">
        <v>0.4</v>
      </c>
      <c r="H166" s="9">
        <f t="shared" si="13"/>
        <v>1.1559999999999999</v>
      </c>
      <c r="I166" s="10"/>
      <c r="J166" s="18"/>
      <c r="K166" s="19"/>
    </row>
    <row r="167" spans="2:11">
      <c r="B167" s="4"/>
      <c r="C167" s="33"/>
      <c r="D167" s="7"/>
      <c r="E167" s="8"/>
      <c r="F167" s="8"/>
      <c r="G167" s="8"/>
      <c r="H167" s="9"/>
      <c r="I167" s="10"/>
      <c r="J167" s="18"/>
      <c r="K167" s="19"/>
    </row>
    <row r="168" spans="2:11">
      <c r="B168" s="4"/>
      <c r="C168" s="33"/>
      <c r="D168" s="7"/>
      <c r="E168" s="8"/>
      <c r="F168" s="8"/>
      <c r="G168" s="8"/>
      <c r="H168" s="9"/>
      <c r="I168" s="10"/>
      <c r="J168" s="18"/>
      <c r="K168" s="19"/>
    </row>
    <row r="169" spans="2:11">
      <c r="B169" s="4">
        <v>11</v>
      </c>
      <c r="C169" s="194" t="s">
        <v>261</v>
      </c>
      <c r="D169" s="195"/>
      <c r="E169" s="195"/>
      <c r="F169" s="195"/>
      <c r="G169" s="195"/>
      <c r="H169" s="195"/>
      <c r="I169" s="5"/>
      <c r="J169" s="5"/>
      <c r="K169" s="5"/>
    </row>
    <row r="170" spans="2:11">
      <c r="B170" s="4"/>
      <c r="C170" s="191"/>
      <c r="D170" s="191"/>
      <c r="E170" s="191"/>
      <c r="F170" s="191"/>
      <c r="G170" s="191"/>
      <c r="H170" s="192"/>
      <c r="I170" s="11">
        <f>SUM(H171:H173)</f>
        <v>65.777107749999971</v>
      </c>
      <c r="J170" s="18" t="s">
        <v>19</v>
      </c>
      <c r="K170" s="19"/>
    </row>
    <row r="171" spans="2:11">
      <c r="B171" s="4"/>
      <c r="C171" s="33"/>
      <c r="D171" s="7"/>
      <c r="E171" s="8"/>
      <c r="F171" s="8"/>
      <c r="G171" s="8"/>
      <c r="H171" s="9"/>
      <c r="I171" s="10"/>
      <c r="J171" s="18"/>
      <c r="K171" s="19"/>
    </row>
    <row r="172" spans="2:11">
      <c r="B172" s="4"/>
      <c r="C172" s="33" t="s">
        <v>262</v>
      </c>
      <c r="D172" s="7">
        <v>1</v>
      </c>
      <c r="E172" s="8" t="s">
        <v>21</v>
      </c>
      <c r="F172" s="9">
        <f>+I6-I91</f>
        <v>57.197484999999979</v>
      </c>
      <c r="G172" s="8">
        <v>1.1499999999999999</v>
      </c>
      <c r="H172" s="9">
        <f t="shared" ref="H172" si="14">PRODUCT(D172:G172)</f>
        <v>65.777107749999971</v>
      </c>
      <c r="I172" s="10"/>
      <c r="J172" s="18"/>
      <c r="K172" s="19"/>
    </row>
    <row r="173" spans="2:11" ht="15.75" customHeight="1">
      <c r="B173" s="4"/>
      <c r="C173" s="6"/>
      <c r="D173" s="19"/>
      <c r="E173" s="8"/>
      <c r="F173" s="8"/>
      <c r="G173" s="8"/>
      <c r="H173" s="9"/>
      <c r="I173" s="7"/>
      <c r="J173" s="18"/>
      <c r="K173" s="19"/>
    </row>
    <row r="174" spans="2:11">
      <c r="B174" s="4">
        <v>11</v>
      </c>
      <c r="C174" s="194" t="s">
        <v>139</v>
      </c>
      <c r="D174" s="195"/>
      <c r="E174" s="195"/>
      <c r="F174" s="195"/>
      <c r="G174" s="195"/>
      <c r="H174" s="195"/>
      <c r="I174" s="5"/>
      <c r="J174" s="5"/>
      <c r="K174" s="5"/>
    </row>
    <row r="175" spans="2:11">
      <c r="B175" s="4"/>
      <c r="C175" s="191" t="s">
        <v>140</v>
      </c>
      <c r="D175" s="191"/>
      <c r="E175" s="191"/>
      <c r="F175" s="191"/>
      <c r="G175" s="191"/>
      <c r="H175" s="192"/>
      <c r="I175" s="11">
        <f>SUM(H176:H179)</f>
        <v>17.04</v>
      </c>
      <c r="J175" s="18" t="s">
        <v>19</v>
      </c>
      <c r="K175" s="19"/>
    </row>
    <row r="176" spans="2:11">
      <c r="B176" s="4"/>
      <c r="C176" s="40" t="s">
        <v>96</v>
      </c>
      <c r="D176" s="41">
        <v>1</v>
      </c>
      <c r="E176" s="20">
        <v>4.5</v>
      </c>
      <c r="F176" s="20">
        <v>2.5</v>
      </c>
      <c r="G176" s="20"/>
      <c r="H176" s="42">
        <f t="shared" ref="H176:H179" si="15">PRODUCT(D176:G176)</f>
        <v>11.25</v>
      </c>
      <c r="I176" s="10"/>
      <c r="J176" s="18"/>
      <c r="K176" s="19"/>
    </row>
    <row r="177" spans="2:11">
      <c r="B177" s="4"/>
      <c r="C177" s="40" t="s">
        <v>113</v>
      </c>
      <c r="D177" s="41">
        <v>1</v>
      </c>
      <c r="E177" s="20">
        <v>1.5</v>
      </c>
      <c r="F177" s="20">
        <v>0.7</v>
      </c>
      <c r="G177" s="20"/>
      <c r="H177" s="42">
        <f t="shared" si="15"/>
        <v>1.0499999999999998</v>
      </c>
      <c r="I177" s="10"/>
      <c r="J177" s="18"/>
      <c r="K177" s="19"/>
    </row>
    <row r="178" spans="2:11">
      <c r="B178" s="4"/>
      <c r="C178" s="40" t="s">
        <v>141</v>
      </c>
      <c r="D178" s="41">
        <v>1</v>
      </c>
      <c r="E178" s="20">
        <v>0.9</v>
      </c>
      <c r="F178" s="20">
        <v>0.6</v>
      </c>
      <c r="G178" s="20"/>
      <c r="H178" s="42">
        <f t="shared" si="15"/>
        <v>0.54</v>
      </c>
      <c r="I178" s="10"/>
      <c r="J178" s="18"/>
      <c r="K178" s="19"/>
    </row>
    <row r="179" spans="2:11">
      <c r="B179" s="4"/>
      <c r="C179" s="40" t="s">
        <v>142</v>
      </c>
      <c r="D179" s="41">
        <v>1</v>
      </c>
      <c r="E179" s="20">
        <v>1.4</v>
      </c>
      <c r="F179" s="20">
        <v>3</v>
      </c>
      <c r="G179" s="20"/>
      <c r="H179" s="42">
        <f t="shared" si="15"/>
        <v>4.1999999999999993</v>
      </c>
      <c r="I179" s="10"/>
      <c r="J179" s="18"/>
      <c r="K179" s="19"/>
    </row>
    <row r="180" spans="2:11">
      <c r="B180" s="4">
        <v>11</v>
      </c>
      <c r="C180" s="194" t="s">
        <v>123</v>
      </c>
      <c r="D180" s="195"/>
      <c r="E180" s="195"/>
      <c r="F180" s="195"/>
      <c r="G180" s="195"/>
      <c r="H180" s="195"/>
      <c r="I180" s="5"/>
      <c r="J180" s="5"/>
      <c r="K180" s="5"/>
    </row>
    <row r="181" spans="2:11">
      <c r="B181" s="4"/>
      <c r="C181" s="191" t="s">
        <v>459</v>
      </c>
      <c r="D181" s="191"/>
      <c r="E181" s="191"/>
      <c r="F181" s="191"/>
      <c r="G181" s="191"/>
      <c r="H181" s="192"/>
      <c r="I181" s="11">
        <f>SUM(H182:H229)</f>
        <v>31.994900000000001</v>
      </c>
      <c r="J181" s="18" t="s">
        <v>21</v>
      </c>
      <c r="K181" s="19"/>
    </row>
    <row r="182" spans="2:11">
      <c r="B182" s="4"/>
      <c r="C182" s="18"/>
      <c r="D182" s="7"/>
      <c r="E182" s="8"/>
      <c r="F182" s="8"/>
      <c r="G182" s="8"/>
      <c r="H182" s="9"/>
      <c r="I182" s="10"/>
      <c r="J182" s="18"/>
      <c r="K182" s="19"/>
    </row>
    <row r="183" spans="2:11">
      <c r="B183" s="4"/>
      <c r="C183" s="6" t="s">
        <v>435</v>
      </c>
      <c r="D183" s="7">
        <v>1</v>
      </c>
      <c r="E183" s="8">
        <v>3.43</v>
      </c>
      <c r="F183" s="8">
        <v>0.5</v>
      </c>
      <c r="G183" s="8">
        <v>0.6</v>
      </c>
      <c r="H183" s="9">
        <f>PRODUCT(D183:G183)</f>
        <v>1.0289999999999999</v>
      </c>
      <c r="I183" s="10"/>
      <c r="J183" s="18" t="s">
        <v>436</v>
      </c>
      <c r="K183" s="19" t="s">
        <v>78</v>
      </c>
    </row>
    <row r="184" spans="2:11">
      <c r="B184" s="4"/>
      <c r="C184" s="6"/>
      <c r="D184" s="7">
        <v>1</v>
      </c>
      <c r="E184" s="8">
        <v>3.4</v>
      </c>
      <c r="F184" s="8">
        <v>0.5</v>
      </c>
      <c r="G184" s="8">
        <v>0.6</v>
      </c>
      <c r="H184" s="9">
        <f t="shared" ref="H184:H185" si="16">PRODUCT(D184:G184)</f>
        <v>1.02</v>
      </c>
      <c r="I184" s="10"/>
      <c r="J184" s="18" t="s">
        <v>437</v>
      </c>
      <c r="K184" s="19" t="s">
        <v>78</v>
      </c>
    </row>
    <row r="185" spans="2:11">
      <c r="B185" s="4"/>
      <c r="C185" s="6"/>
      <c r="D185" s="7">
        <v>1</v>
      </c>
      <c r="E185" s="8">
        <v>3.2</v>
      </c>
      <c r="F185" s="8">
        <v>0.5</v>
      </c>
      <c r="G185" s="8">
        <v>0.6</v>
      </c>
      <c r="H185" s="9">
        <f t="shared" si="16"/>
        <v>0.96</v>
      </c>
      <c r="I185" s="10"/>
      <c r="J185" s="18" t="s">
        <v>438</v>
      </c>
      <c r="K185" s="19" t="s">
        <v>121</v>
      </c>
    </row>
    <row r="186" spans="2:11">
      <c r="B186" s="4"/>
      <c r="C186" s="6"/>
      <c r="D186" s="7">
        <v>1</v>
      </c>
      <c r="E186" s="8">
        <v>2.4700000000000002</v>
      </c>
      <c r="F186" s="8">
        <v>0.5</v>
      </c>
      <c r="G186" s="8">
        <v>0.6</v>
      </c>
      <c r="H186" s="9">
        <f>PRODUCT(D186:G186)</f>
        <v>0.74099999999999999</v>
      </c>
      <c r="I186" s="10"/>
      <c r="J186" s="18" t="s">
        <v>439</v>
      </c>
      <c r="K186" s="19" t="s">
        <v>78</v>
      </c>
    </row>
    <row r="187" spans="2:11">
      <c r="B187" s="4"/>
      <c r="C187" s="6" t="s">
        <v>93</v>
      </c>
      <c r="D187" s="7">
        <v>1</v>
      </c>
      <c r="E187" s="8">
        <v>0.85</v>
      </c>
      <c r="F187" s="8">
        <v>0.5</v>
      </c>
      <c r="G187" s="8">
        <v>0.6</v>
      </c>
      <c r="H187" s="9">
        <f t="shared" ref="H187:H196" si="17">PRODUCT(D187:G187)</f>
        <v>0.255</v>
      </c>
      <c r="I187" s="10"/>
      <c r="J187" s="18" t="s">
        <v>439</v>
      </c>
      <c r="K187" s="19" t="s">
        <v>84</v>
      </c>
    </row>
    <row r="188" spans="2:11">
      <c r="B188" s="4"/>
      <c r="C188" s="6"/>
      <c r="D188" s="7">
        <v>1</v>
      </c>
      <c r="E188" s="8">
        <v>1.1299999999999999</v>
      </c>
      <c r="F188" s="8">
        <v>0.5</v>
      </c>
      <c r="G188" s="8">
        <v>0.6</v>
      </c>
      <c r="H188" s="9">
        <v>0.5</v>
      </c>
      <c r="I188" s="10"/>
      <c r="J188" s="18" t="s">
        <v>439</v>
      </c>
      <c r="K188" s="19" t="s">
        <v>83</v>
      </c>
    </row>
    <row r="189" spans="2:11">
      <c r="B189" s="4"/>
      <c r="C189" s="6"/>
      <c r="D189" s="7">
        <v>1</v>
      </c>
      <c r="E189" s="8">
        <v>3.05</v>
      </c>
      <c r="F189" s="8">
        <v>0.5</v>
      </c>
      <c r="G189" s="8">
        <v>0.6</v>
      </c>
      <c r="H189" s="9">
        <f t="shared" si="17"/>
        <v>0.91499999999999992</v>
      </c>
      <c r="I189" s="10"/>
      <c r="J189" s="18" t="s">
        <v>440</v>
      </c>
      <c r="K189" s="19" t="s">
        <v>94</v>
      </c>
    </row>
    <row r="190" spans="2:11">
      <c r="B190" s="4"/>
      <c r="C190" s="6" t="s">
        <v>92</v>
      </c>
      <c r="D190" s="7">
        <v>1</v>
      </c>
      <c r="E190" s="8">
        <v>3.41</v>
      </c>
      <c r="F190" s="8">
        <v>0.5</v>
      </c>
      <c r="G190" s="8">
        <v>0.6</v>
      </c>
      <c r="H190" s="9">
        <f t="shared" si="17"/>
        <v>1.0229999999999999</v>
      </c>
      <c r="I190" s="10"/>
      <c r="J190" s="18" t="s">
        <v>436</v>
      </c>
      <c r="K190" s="19" t="s">
        <v>78</v>
      </c>
    </row>
    <row r="191" spans="2:11">
      <c r="B191" s="4"/>
      <c r="C191" s="6"/>
      <c r="D191" s="7">
        <v>1</v>
      </c>
      <c r="E191" s="8">
        <v>1.35</v>
      </c>
      <c r="F191" s="8">
        <v>0.5</v>
      </c>
      <c r="G191" s="8">
        <v>0.6</v>
      </c>
      <c r="H191" s="9">
        <f t="shared" si="17"/>
        <v>0.40500000000000003</v>
      </c>
      <c r="I191" s="10"/>
      <c r="J191" s="18" t="s">
        <v>437</v>
      </c>
      <c r="K191" s="19" t="s">
        <v>78</v>
      </c>
    </row>
    <row r="192" spans="2:11">
      <c r="B192" s="4"/>
      <c r="C192" s="6"/>
      <c r="D192" s="7">
        <v>1</v>
      </c>
      <c r="E192" s="8">
        <v>1.55</v>
      </c>
      <c r="F192" s="8">
        <v>0.5</v>
      </c>
      <c r="G192" s="8">
        <v>0.6</v>
      </c>
      <c r="H192" s="9">
        <f t="shared" si="17"/>
        <v>0.46499999999999997</v>
      </c>
      <c r="I192" s="10"/>
      <c r="J192" s="18" t="s">
        <v>437</v>
      </c>
      <c r="K192" s="19" t="s">
        <v>83</v>
      </c>
    </row>
    <row r="193" spans="2:11">
      <c r="B193" s="4"/>
      <c r="C193" s="6"/>
      <c r="D193" s="7">
        <v>1</v>
      </c>
      <c r="E193" s="8">
        <v>2.4700000000000002</v>
      </c>
      <c r="F193" s="8">
        <v>0.5</v>
      </c>
      <c r="G193" s="8">
        <v>0.6</v>
      </c>
      <c r="H193" s="9">
        <f t="shared" si="17"/>
        <v>0.74099999999999999</v>
      </c>
      <c r="I193" s="10"/>
      <c r="J193" s="18" t="s">
        <v>441</v>
      </c>
      <c r="K193" s="19" t="s">
        <v>78</v>
      </c>
    </row>
    <row r="194" spans="2:11">
      <c r="B194" s="4"/>
      <c r="C194" s="6"/>
      <c r="D194" s="7">
        <v>1</v>
      </c>
      <c r="E194" s="8">
        <v>3.2</v>
      </c>
      <c r="F194" s="8">
        <v>0.5</v>
      </c>
      <c r="G194" s="8">
        <v>0.6</v>
      </c>
      <c r="H194" s="9">
        <f t="shared" si="17"/>
        <v>0.96</v>
      </c>
      <c r="I194" s="10"/>
      <c r="J194" s="18" t="s">
        <v>438</v>
      </c>
      <c r="K194" s="19" t="s">
        <v>442</v>
      </c>
    </row>
    <row r="195" spans="2:11">
      <c r="B195" s="4"/>
      <c r="C195" s="6"/>
      <c r="D195" s="7">
        <v>1</v>
      </c>
      <c r="E195" s="8">
        <v>1.1299999999999999</v>
      </c>
      <c r="F195" s="8">
        <v>0.5</v>
      </c>
      <c r="G195" s="8">
        <v>0.6</v>
      </c>
      <c r="H195" s="9">
        <f t="shared" si="17"/>
        <v>0.33899999999999997</v>
      </c>
      <c r="I195" s="10"/>
      <c r="J195" s="18" t="s">
        <v>439</v>
      </c>
      <c r="K195" s="19" t="s">
        <v>84</v>
      </c>
    </row>
    <row r="196" spans="2:11">
      <c r="B196" s="4"/>
      <c r="C196" s="6"/>
      <c r="D196" s="7">
        <v>1</v>
      </c>
      <c r="E196" s="8">
        <v>3.05</v>
      </c>
      <c r="F196" s="8">
        <v>0.5</v>
      </c>
      <c r="G196" s="8">
        <v>0.6</v>
      </c>
      <c r="H196" s="9">
        <f t="shared" si="17"/>
        <v>0.91499999999999992</v>
      </c>
      <c r="I196" s="10"/>
      <c r="J196" s="18" t="s">
        <v>440</v>
      </c>
      <c r="K196" s="19" t="s">
        <v>94</v>
      </c>
    </row>
    <row r="197" spans="2:11">
      <c r="B197" s="4"/>
      <c r="C197" s="6" t="s">
        <v>90</v>
      </c>
      <c r="D197" s="7">
        <v>1</v>
      </c>
      <c r="E197" s="8">
        <v>0.93</v>
      </c>
      <c r="F197" s="8">
        <v>0.5</v>
      </c>
      <c r="G197" s="8">
        <v>0.6</v>
      </c>
      <c r="H197" s="9">
        <f>PRODUCT(D197:G197)</f>
        <v>0.27900000000000003</v>
      </c>
      <c r="I197" s="10"/>
      <c r="J197" s="18" t="s">
        <v>443</v>
      </c>
      <c r="K197" s="19" t="s">
        <v>84</v>
      </c>
    </row>
    <row r="198" spans="2:11">
      <c r="B198" s="4"/>
      <c r="C198" s="6"/>
      <c r="D198" s="7">
        <v>1</v>
      </c>
      <c r="E198" s="8">
        <v>0.73</v>
      </c>
      <c r="F198" s="8">
        <v>0.5</v>
      </c>
      <c r="G198" s="8">
        <v>0.6</v>
      </c>
      <c r="H198" s="9">
        <f>PRODUCT(D198:G198)</f>
        <v>0.219</v>
      </c>
      <c r="I198" s="10"/>
      <c r="J198" s="18" t="s">
        <v>443</v>
      </c>
      <c r="K198" s="19" t="s">
        <v>83</v>
      </c>
    </row>
    <row r="199" spans="2:11">
      <c r="B199" s="4"/>
      <c r="C199" s="6"/>
      <c r="D199" s="7">
        <v>1</v>
      </c>
      <c r="E199" s="8">
        <v>0.83</v>
      </c>
      <c r="F199" s="8">
        <v>0.5</v>
      </c>
      <c r="G199" s="8">
        <v>0.6</v>
      </c>
      <c r="H199" s="9">
        <f>PRODUCT(D199:G199)</f>
        <v>0.24899999999999997</v>
      </c>
      <c r="I199" s="10"/>
      <c r="J199" s="18" t="s">
        <v>444</v>
      </c>
      <c r="K199" s="19" t="s">
        <v>84</v>
      </c>
    </row>
    <row r="200" spans="2:11">
      <c r="B200" s="4"/>
      <c r="C200" s="6"/>
      <c r="D200" s="7">
        <v>1</v>
      </c>
      <c r="E200" s="8">
        <v>0.83</v>
      </c>
      <c r="F200" s="8">
        <v>0.5</v>
      </c>
      <c r="G200" s="8">
        <v>0.6</v>
      </c>
      <c r="H200" s="9">
        <f t="shared" ref="H200" si="18">PRODUCT(D200:G200)</f>
        <v>0.24899999999999997</v>
      </c>
      <c r="I200" s="10"/>
      <c r="J200" s="18" t="s">
        <v>444</v>
      </c>
      <c r="K200" s="19" t="s">
        <v>83</v>
      </c>
    </row>
    <row r="201" spans="2:11">
      <c r="B201" s="4"/>
      <c r="C201" s="6"/>
      <c r="D201" s="7">
        <v>1</v>
      </c>
      <c r="E201" s="8">
        <v>0.83</v>
      </c>
      <c r="F201" s="8">
        <v>0.5</v>
      </c>
      <c r="G201" s="8">
        <v>0.6</v>
      </c>
      <c r="H201" s="9">
        <f>PRODUCT(D201:G201)</f>
        <v>0.24899999999999997</v>
      </c>
      <c r="I201" s="10"/>
      <c r="J201" s="18" t="s">
        <v>444</v>
      </c>
      <c r="K201" s="19" t="s">
        <v>83</v>
      </c>
    </row>
    <row r="202" spans="2:11">
      <c r="B202" s="4"/>
      <c r="C202" s="6"/>
      <c r="D202" s="7">
        <v>1</v>
      </c>
      <c r="E202" s="8">
        <v>0.83</v>
      </c>
      <c r="F202" s="8">
        <v>0.5</v>
      </c>
      <c r="G202" s="8">
        <v>0.6</v>
      </c>
      <c r="H202" s="9">
        <f>PRODUCT(D202:G202)</f>
        <v>0.24899999999999997</v>
      </c>
      <c r="I202" s="10"/>
      <c r="J202" s="18" t="s">
        <v>444</v>
      </c>
      <c r="K202" s="19" t="s">
        <v>84</v>
      </c>
    </row>
    <row r="203" spans="2:11">
      <c r="B203" s="4"/>
      <c r="C203" s="6"/>
      <c r="D203" s="7">
        <v>1</v>
      </c>
      <c r="E203" s="8">
        <v>1.88</v>
      </c>
      <c r="F203" s="8">
        <v>0.5</v>
      </c>
      <c r="G203" s="8">
        <v>0.6</v>
      </c>
      <c r="H203" s="9">
        <f t="shared" ref="H203:H220" si="19">PRODUCT(D203:G203)</f>
        <v>0.56399999999999995</v>
      </c>
      <c r="I203" s="10"/>
      <c r="J203" s="18" t="s">
        <v>445</v>
      </c>
      <c r="K203" s="19" t="s">
        <v>83</v>
      </c>
    </row>
    <row r="204" spans="2:11">
      <c r="B204" s="4"/>
      <c r="C204" s="6" t="s">
        <v>89</v>
      </c>
      <c r="D204" s="7">
        <v>1</v>
      </c>
      <c r="E204" s="8">
        <v>2.4700000000000002</v>
      </c>
      <c r="F204" s="8">
        <v>0.5</v>
      </c>
      <c r="G204" s="8">
        <v>0.6</v>
      </c>
      <c r="H204" s="9">
        <f t="shared" si="19"/>
        <v>0.74099999999999999</v>
      </c>
      <c r="I204" s="10"/>
      <c r="J204" s="18" t="s">
        <v>446</v>
      </c>
      <c r="K204" s="19" t="s">
        <v>78</v>
      </c>
    </row>
    <row r="205" spans="2:11">
      <c r="B205" s="4"/>
      <c r="C205" s="6"/>
      <c r="D205" s="7">
        <v>1</v>
      </c>
      <c r="E205" s="8">
        <v>1.65</v>
      </c>
      <c r="F205" s="8">
        <v>0.5</v>
      </c>
      <c r="G205" s="8">
        <v>0.6</v>
      </c>
      <c r="H205" s="9">
        <f t="shared" si="19"/>
        <v>0.49499999999999994</v>
      </c>
      <c r="I205" s="10"/>
      <c r="J205" s="18" t="s">
        <v>443</v>
      </c>
      <c r="K205" s="19" t="s">
        <v>78</v>
      </c>
    </row>
    <row r="206" spans="2:11">
      <c r="B206" s="4"/>
      <c r="C206" s="6"/>
      <c r="D206" s="7">
        <v>1</v>
      </c>
      <c r="E206" s="8">
        <v>1.65</v>
      </c>
      <c r="F206" s="8">
        <v>0.5</v>
      </c>
      <c r="G206" s="8">
        <v>0.6</v>
      </c>
      <c r="H206" s="9">
        <f t="shared" si="19"/>
        <v>0.49499999999999994</v>
      </c>
      <c r="I206" s="10"/>
      <c r="J206" s="18" t="s">
        <v>444</v>
      </c>
      <c r="K206" s="19" t="s">
        <v>78</v>
      </c>
    </row>
    <row r="207" spans="2:11">
      <c r="B207" s="4"/>
      <c r="C207" s="6"/>
      <c r="D207" s="7">
        <v>1</v>
      </c>
      <c r="E207" s="8">
        <v>1.65</v>
      </c>
      <c r="F207" s="8">
        <v>0.5</v>
      </c>
      <c r="G207" s="8">
        <v>0.6</v>
      </c>
      <c r="H207" s="9">
        <f t="shared" si="19"/>
        <v>0.49499999999999994</v>
      </c>
      <c r="I207" s="10"/>
      <c r="J207" s="18" t="s">
        <v>444</v>
      </c>
      <c r="K207" s="19" t="s">
        <v>78</v>
      </c>
    </row>
    <row r="208" spans="2:11">
      <c r="B208" s="4"/>
      <c r="C208" s="6"/>
      <c r="D208" s="7">
        <v>1</v>
      </c>
      <c r="E208" s="8">
        <v>1.88</v>
      </c>
      <c r="F208" s="8">
        <v>0.5</v>
      </c>
      <c r="G208" s="8">
        <v>0.6</v>
      </c>
      <c r="H208" s="9">
        <f t="shared" si="19"/>
        <v>0.56399999999999995</v>
      </c>
      <c r="I208" s="10"/>
      <c r="J208" s="18" t="s">
        <v>445</v>
      </c>
      <c r="K208" s="19" t="s">
        <v>78</v>
      </c>
    </row>
    <row r="209" spans="2:11">
      <c r="B209" s="4"/>
      <c r="C209" t="s">
        <v>447</v>
      </c>
      <c r="D209" s="7">
        <v>1</v>
      </c>
      <c r="E209" s="8">
        <v>2.27</v>
      </c>
      <c r="F209" s="8">
        <v>0.5</v>
      </c>
      <c r="G209" s="8">
        <v>0.6</v>
      </c>
      <c r="H209" s="9">
        <f t="shared" si="19"/>
        <v>0.68099999999999994</v>
      </c>
      <c r="I209" s="10"/>
      <c r="J209" s="18" t="s">
        <v>79</v>
      </c>
      <c r="K209" s="19" t="s">
        <v>78</v>
      </c>
    </row>
    <row r="210" spans="2:11">
      <c r="B210" s="4"/>
      <c r="C210" s="6"/>
      <c r="D210" s="7">
        <v>1</v>
      </c>
      <c r="E210" s="8">
        <v>4.18</v>
      </c>
      <c r="F210" s="8">
        <v>0.5</v>
      </c>
      <c r="G210" s="8">
        <v>0.6</v>
      </c>
      <c r="H210" s="9">
        <f t="shared" si="19"/>
        <v>1.2539999999999998</v>
      </c>
      <c r="I210" s="10"/>
      <c r="J210" s="18" t="s">
        <v>448</v>
      </c>
      <c r="K210" s="19" t="s">
        <v>78</v>
      </c>
    </row>
    <row r="211" spans="2:11">
      <c r="B211" s="4"/>
      <c r="C211" s="6" t="s">
        <v>449</v>
      </c>
      <c r="D211" s="7">
        <v>1</v>
      </c>
      <c r="E211" s="8">
        <v>4.78</v>
      </c>
      <c r="F211" s="8">
        <v>0.5</v>
      </c>
      <c r="G211" s="8">
        <v>0.6</v>
      </c>
      <c r="H211" s="9">
        <f t="shared" si="19"/>
        <v>1.4339999999999999</v>
      </c>
      <c r="I211" s="10"/>
      <c r="J211" s="18" t="s">
        <v>450</v>
      </c>
      <c r="K211" s="19" t="s">
        <v>78</v>
      </c>
    </row>
    <row r="212" spans="2:11">
      <c r="B212" s="4"/>
      <c r="C212" s="6" t="s">
        <v>77</v>
      </c>
      <c r="D212" s="7">
        <v>1</v>
      </c>
      <c r="E212" s="8">
        <v>4.78</v>
      </c>
      <c r="F212" s="8">
        <v>0.5</v>
      </c>
      <c r="G212" s="8">
        <v>0.6</v>
      </c>
      <c r="H212" s="9">
        <f t="shared" si="19"/>
        <v>1.4339999999999999</v>
      </c>
      <c r="I212" s="10"/>
      <c r="J212" s="18" t="s">
        <v>450</v>
      </c>
      <c r="K212" s="19" t="s">
        <v>84</v>
      </c>
    </row>
    <row r="213" spans="2:11">
      <c r="B213" s="4"/>
      <c r="C213" s="6"/>
      <c r="D213" s="7">
        <v>1</v>
      </c>
      <c r="E213" s="8">
        <v>1.08</v>
      </c>
      <c r="F213" s="8">
        <v>0.5</v>
      </c>
      <c r="G213" s="8">
        <v>0.6</v>
      </c>
      <c r="H213" s="9">
        <f t="shared" si="19"/>
        <v>0.32400000000000001</v>
      </c>
      <c r="I213" s="10"/>
      <c r="J213" s="18" t="s">
        <v>79</v>
      </c>
      <c r="K213" s="19" t="s">
        <v>84</v>
      </c>
    </row>
    <row r="214" spans="2:11">
      <c r="B214" s="4"/>
      <c r="C214" s="6" t="s">
        <v>82</v>
      </c>
      <c r="D214" s="7">
        <v>1</v>
      </c>
      <c r="E214" s="8">
        <v>3.48</v>
      </c>
      <c r="F214" s="8">
        <v>0.5</v>
      </c>
      <c r="G214" s="8">
        <v>0.6</v>
      </c>
      <c r="H214" s="9">
        <f t="shared" si="19"/>
        <v>1.044</v>
      </c>
      <c r="I214" s="10"/>
      <c r="J214" s="18" t="s">
        <v>80</v>
      </c>
      <c r="K214" s="19" t="s">
        <v>84</v>
      </c>
    </row>
    <row r="215" spans="2:11">
      <c r="B215" s="4"/>
      <c r="C215" s="6"/>
      <c r="D215" s="7">
        <v>1</v>
      </c>
      <c r="E215" s="8">
        <v>2.5499999999999998</v>
      </c>
      <c r="F215" s="8">
        <v>0.5</v>
      </c>
      <c r="G215" s="8">
        <v>0.6</v>
      </c>
      <c r="H215" s="9">
        <f t="shared" si="19"/>
        <v>0.7649999999999999</v>
      </c>
      <c r="I215" s="10"/>
      <c r="J215" s="18" t="s">
        <v>79</v>
      </c>
      <c r="K215" s="19" t="s">
        <v>442</v>
      </c>
    </row>
    <row r="216" spans="2:11">
      <c r="B216" s="4"/>
      <c r="C216" s="6"/>
      <c r="D216" s="7">
        <v>1</v>
      </c>
      <c r="E216" s="8">
        <v>4.34</v>
      </c>
      <c r="F216" s="8">
        <v>0.5</v>
      </c>
      <c r="G216" s="8">
        <v>0.6</v>
      </c>
      <c r="H216" s="9">
        <f t="shared" si="19"/>
        <v>1.3019999999999998</v>
      </c>
      <c r="I216" s="10"/>
      <c r="J216" s="18" t="s">
        <v>448</v>
      </c>
      <c r="K216" s="19" t="s">
        <v>442</v>
      </c>
    </row>
    <row r="217" spans="2:11">
      <c r="B217" s="4"/>
      <c r="C217" s="6" t="s">
        <v>451</v>
      </c>
      <c r="D217" s="7">
        <v>1</v>
      </c>
      <c r="E217" s="8">
        <v>3.48</v>
      </c>
      <c r="F217" s="8">
        <v>0.5</v>
      </c>
      <c r="G217" s="8">
        <v>0.6</v>
      </c>
      <c r="H217" s="9">
        <f t="shared" si="19"/>
        <v>1.044</v>
      </c>
      <c r="I217" s="10"/>
      <c r="J217" s="18" t="s">
        <v>80</v>
      </c>
      <c r="K217" s="19" t="s">
        <v>84</v>
      </c>
    </row>
    <row r="218" spans="2:11">
      <c r="B218" s="4"/>
      <c r="C218" s="6" t="s">
        <v>87</v>
      </c>
      <c r="D218" s="7">
        <v>1</v>
      </c>
      <c r="E218" s="8">
        <v>3.4830000000000001</v>
      </c>
      <c r="F218" s="8">
        <v>0.5</v>
      </c>
      <c r="G218" s="8">
        <v>0.6</v>
      </c>
      <c r="H218" s="9">
        <f t="shared" si="19"/>
        <v>1.0448999999999999</v>
      </c>
      <c r="I218" s="10"/>
      <c r="J218" s="18" t="s">
        <v>80</v>
      </c>
      <c r="K218" s="19" t="s">
        <v>84</v>
      </c>
    </row>
    <row r="219" spans="2:11">
      <c r="B219" s="4"/>
      <c r="C219" s="6" t="s">
        <v>452</v>
      </c>
      <c r="D219" s="7">
        <v>1</v>
      </c>
      <c r="E219" s="8">
        <v>1.72</v>
      </c>
      <c r="F219" s="8">
        <v>0.5</v>
      </c>
      <c r="G219" s="8">
        <v>0.6</v>
      </c>
      <c r="H219" s="9">
        <f t="shared" si="19"/>
        <v>0.51600000000000001</v>
      </c>
      <c r="I219" s="10"/>
      <c r="J219" s="18" t="s">
        <v>79</v>
      </c>
      <c r="K219" s="19" t="s">
        <v>442</v>
      </c>
    </row>
    <row r="220" spans="2:11">
      <c r="B220" s="4"/>
      <c r="C220" s="6"/>
      <c r="D220" s="7">
        <v>1</v>
      </c>
      <c r="E220" s="8">
        <v>1.2</v>
      </c>
      <c r="F220" s="8">
        <v>0.5</v>
      </c>
      <c r="G220" s="8">
        <v>0.6</v>
      </c>
      <c r="H220" s="9">
        <f t="shared" si="19"/>
        <v>0.36</v>
      </c>
      <c r="I220" s="10"/>
      <c r="J220" s="18" t="s">
        <v>79</v>
      </c>
      <c r="K220" s="19" t="s">
        <v>86</v>
      </c>
    </row>
    <row r="221" spans="2:11">
      <c r="B221" s="4"/>
      <c r="C221" s="6"/>
      <c r="D221" s="7">
        <v>1</v>
      </c>
      <c r="E221" s="8">
        <v>4.99</v>
      </c>
      <c r="F221" s="8">
        <v>0.5</v>
      </c>
      <c r="G221" s="8">
        <v>0.6</v>
      </c>
      <c r="H221" s="9">
        <f>PRODUCT(D221:G221)</f>
        <v>1.4970000000000001</v>
      </c>
      <c r="I221" s="10"/>
      <c r="J221" s="18" t="s">
        <v>448</v>
      </c>
      <c r="K221" s="19" t="s">
        <v>442</v>
      </c>
    </row>
    <row r="222" spans="2:11">
      <c r="B222" s="4"/>
      <c r="C222" s="6" t="s">
        <v>453</v>
      </c>
      <c r="D222" s="7">
        <v>1</v>
      </c>
      <c r="E222" s="8">
        <v>0.5</v>
      </c>
      <c r="F222" s="8">
        <v>0.5</v>
      </c>
      <c r="G222" s="8">
        <v>0.6</v>
      </c>
      <c r="H222" s="9">
        <f>PRODUCT(D222:G222)</f>
        <v>0.15</v>
      </c>
      <c r="I222" s="10"/>
      <c r="J222" s="18" t="s">
        <v>79</v>
      </c>
      <c r="K222" s="19" t="s">
        <v>84</v>
      </c>
    </row>
    <row r="223" spans="2:11">
      <c r="B223" s="4"/>
      <c r="C223" s="6"/>
      <c r="D223" s="7">
        <v>1</v>
      </c>
      <c r="E223" s="8">
        <v>0.63</v>
      </c>
      <c r="F223" s="8">
        <v>0.5</v>
      </c>
      <c r="G223" s="8">
        <v>0.6</v>
      </c>
      <c r="H223" s="9">
        <f>PRODUCT(D223:G223)</f>
        <v>0.189</v>
      </c>
      <c r="I223" s="10"/>
      <c r="J223" s="18" t="s">
        <v>79</v>
      </c>
      <c r="K223" s="19" t="s">
        <v>83</v>
      </c>
    </row>
    <row r="224" spans="2:11">
      <c r="B224" s="4"/>
      <c r="C224" s="6"/>
      <c r="D224" s="7">
        <v>1</v>
      </c>
      <c r="E224" s="8">
        <v>1.33</v>
      </c>
      <c r="F224" s="8">
        <v>0.5</v>
      </c>
      <c r="G224" s="8">
        <v>0.6</v>
      </c>
      <c r="H224" s="9">
        <f>PRODUCT(D224:G224)</f>
        <v>0.39900000000000002</v>
      </c>
      <c r="I224" s="10"/>
      <c r="J224" s="18" t="s">
        <v>79</v>
      </c>
      <c r="K224" s="19" t="s">
        <v>84</v>
      </c>
    </row>
    <row r="225" spans="2:11">
      <c r="B225" s="4"/>
      <c r="C225" s="6" t="s">
        <v>88</v>
      </c>
      <c r="D225" s="7">
        <v>1</v>
      </c>
      <c r="E225" s="8">
        <v>3.48</v>
      </c>
      <c r="F225" s="8">
        <v>0.5</v>
      </c>
      <c r="G225" s="8">
        <v>0.6</v>
      </c>
      <c r="H225" s="9">
        <f t="shared" ref="H225:H228" si="20">PRODUCT(D225:G225)</f>
        <v>1.044</v>
      </c>
      <c r="I225" s="10"/>
      <c r="J225" s="18" t="s">
        <v>80</v>
      </c>
      <c r="K225" s="19" t="s">
        <v>78</v>
      </c>
    </row>
    <row r="226" spans="2:11">
      <c r="B226" s="4"/>
      <c r="C226" s="6"/>
      <c r="D226" s="7">
        <v>1</v>
      </c>
      <c r="E226" s="8">
        <v>1.35</v>
      </c>
      <c r="F226" s="8">
        <v>0.5</v>
      </c>
      <c r="G226" s="8">
        <v>0.6</v>
      </c>
      <c r="H226" s="9">
        <f t="shared" si="20"/>
        <v>0.40500000000000003</v>
      </c>
      <c r="I226" s="10"/>
      <c r="J226" s="18" t="s">
        <v>79</v>
      </c>
      <c r="K226" s="19" t="s">
        <v>78</v>
      </c>
    </row>
    <row r="227" spans="2:11">
      <c r="B227" s="4"/>
      <c r="C227" s="6"/>
      <c r="D227" s="7">
        <v>1</v>
      </c>
      <c r="E227" s="8">
        <v>1.4</v>
      </c>
      <c r="F227" s="8">
        <v>0.5</v>
      </c>
      <c r="G227" s="8">
        <v>0.6</v>
      </c>
      <c r="H227" s="9">
        <f t="shared" si="20"/>
        <v>0.42</v>
      </c>
      <c r="I227" s="10"/>
      <c r="J227" s="18" t="s">
        <v>79</v>
      </c>
      <c r="K227" s="19" t="s">
        <v>85</v>
      </c>
    </row>
    <row r="228" spans="2:11">
      <c r="B228" s="4"/>
      <c r="C228" s="6"/>
      <c r="D228" s="7">
        <v>1</v>
      </c>
      <c r="E228" s="8">
        <v>5.24</v>
      </c>
      <c r="F228" s="8">
        <v>0.5</v>
      </c>
      <c r="G228" s="8">
        <v>0.6</v>
      </c>
      <c r="H228" s="9">
        <f t="shared" si="20"/>
        <v>1.5720000000000001</v>
      </c>
      <c r="I228" s="10"/>
      <c r="J228" s="18" t="s">
        <v>448</v>
      </c>
      <c r="K228" s="19" t="s">
        <v>78</v>
      </c>
    </row>
    <row r="229" spans="2:11">
      <c r="B229" s="4"/>
      <c r="C229" s="6"/>
      <c r="D229" s="7"/>
      <c r="E229" s="8"/>
      <c r="F229" s="8"/>
      <c r="G229" s="8"/>
      <c r="H229" s="9"/>
      <c r="I229" s="10"/>
      <c r="J229" s="18"/>
      <c r="K229" s="19"/>
    </row>
    <row r="230" spans="2:11">
      <c r="B230" s="4">
        <v>11</v>
      </c>
      <c r="C230" s="194" t="s">
        <v>4</v>
      </c>
      <c r="D230" s="195"/>
      <c r="E230" s="195"/>
      <c r="F230" s="195"/>
      <c r="G230" s="195"/>
      <c r="H230" s="195"/>
      <c r="I230" s="5"/>
      <c r="J230" s="5"/>
      <c r="K230" s="5"/>
    </row>
    <row r="231" spans="2:11">
      <c r="B231" s="4"/>
      <c r="C231" s="191" t="s">
        <v>460</v>
      </c>
      <c r="D231" s="191"/>
      <c r="E231" s="191"/>
      <c r="F231" s="191"/>
      <c r="G231" s="191"/>
      <c r="H231" s="192"/>
      <c r="I231" s="11">
        <f>SUM(H232:H282)</f>
        <v>11.810562499999998</v>
      </c>
      <c r="J231" s="18" t="s">
        <v>21</v>
      </c>
      <c r="K231" s="19"/>
    </row>
    <row r="232" spans="2:11">
      <c r="B232" s="4"/>
      <c r="C232" s="6" t="s">
        <v>435</v>
      </c>
      <c r="D232" s="7">
        <v>1</v>
      </c>
      <c r="E232" s="20">
        <v>4.1500000000000004</v>
      </c>
      <c r="F232" s="20">
        <v>0.15</v>
      </c>
      <c r="G232" s="20">
        <v>0.65</v>
      </c>
      <c r="H232" s="9">
        <f>PRODUCT(D232:G232)</f>
        <v>0.40462500000000007</v>
      </c>
      <c r="I232" s="10"/>
      <c r="J232" s="18" t="s">
        <v>436</v>
      </c>
      <c r="K232" s="19" t="s">
        <v>78</v>
      </c>
    </row>
    <row r="233" spans="2:11">
      <c r="B233" s="4"/>
      <c r="C233" s="6"/>
      <c r="D233" s="7">
        <v>1</v>
      </c>
      <c r="E233" s="20">
        <v>4.05</v>
      </c>
      <c r="F233" s="20">
        <v>0.15</v>
      </c>
      <c r="G233" s="20">
        <v>0.65</v>
      </c>
      <c r="H233" s="9">
        <f t="shared" ref="H233:H234" si="21">PRODUCT(D233:G233)</f>
        <v>0.39487499999999998</v>
      </c>
      <c r="I233" s="10"/>
      <c r="J233" s="18" t="s">
        <v>437</v>
      </c>
      <c r="K233" s="19" t="s">
        <v>78</v>
      </c>
    </row>
    <row r="234" spans="2:11">
      <c r="B234" s="4"/>
      <c r="C234" s="6"/>
      <c r="D234" s="7">
        <v>1</v>
      </c>
      <c r="E234" s="20">
        <v>3.35</v>
      </c>
      <c r="F234" s="20">
        <v>0.15</v>
      </c>
      <c r="G234" s="20">
        <v>0.95</v>
      </c>
      <c r="H234" s="9">
        <f t="shared" si="21"/>
        <v>0.47737499999999994</v>
      </c>
      <c r="I234" s="10"/>
      <c r="J234" s="18" t="s">
        <v>438</v>
      </c>
      <c r="K234" s="19" t="s">
        <v>121</v>
      </c>
    </row>
    <row r="235" spans="2:11">
      <c r="B235" s="4"/>
      <c r="C235" s="6"/>
      <c r="D235" s="7">
        <v>1</v>
      </c>
      <c r="E235" s="20">
        <v>2.9</v>
      </c>
      <c r="F235" s="20">
        <v>0.15</v>
      </c>
      <c r="G235" s="20">
        <v>0.65</v>
      </c>
      <c r="H235" s="9">
        <f>PRODUCT(D235:G235)</f>
        <v>0.28275</v>
      </c>
      <c r="I235" s="10"/>
      <c r="J235" s="18" t="s">
        <v>439</v>
      </c>
      <c r="K235" s="19" t="s">
        <v>78</v>
      </c>
    </row>
    <row r="236" spans="2:11">
      <c r="B236" s="4"/>
      <c r="C236" s="6" t="s">
        <v>93</v>
      </c>
      <c r="D236" s="7">
        <v>1</v>
      </c>
      <c r="E236" s="20">
        <v>1.2</v>
      </c>
      <c r="F236" s="20">
        <v>0.15</v>
      </c>
      <c r="G236" s="20">
        <v>0.8</v>
      </c>
      <c r="H236" s="9">
        <f t="shared" ref="H236" si="22">PRODUCT(D236:G236)</f>
        <v>0.14399999999999999</v>
      </c>
      <c r="I236" s="10"/>
      <c r="J236" s="18" t="s">
        <v>439</v>
      </c>
      <c r="K236" s="19" t="s">
        <v>84</v>
      </c>
    </row>
    <row r="237" spans="2:11">
      <c r="B237" s="4"/>
      <c r="C237" s="6"/>
      <c r="D237" s="7">
        <v>1</v>
      </c>
      <c r="E237" s="20">
        <v>1.5</v>
      </c>
      <c r="F237" s="20">
        <v>0.15</v>
      </c>
      <c r="G237" s="20">
        <v>0.5</v>
      </c>
      <c r="H237" s="9">
        <v>0.5</v>
      </c>
      <c r="I237" s="10"/>
      <c r="J237" s="18" t="s">
        <v>439</v>
      </c>
      <c r="K237" s="19" t="s">
        <v>83</v>
      </c>
    </row>
    <row r="238" spans="2:11">
      <c r="B238" s="4"/>
      <c r="C238" s="6"/>
      <c r="D238" s="7">
        <v>1</v>
      </c>
      <c r="E238" s="20">
        <v>2.52</v>
      </c>
      <c r="F238" s="20">
        <v>0.15</v>
      </c>
      <c r="G238" s="20">
        <v>0.5</v>
      </c>
      <c r="H238" s="9">
        <f t="shared" ref="H238:H246" si="23">PRODUCT(D238:G238)</f>
        <v>0.189</v>
      </c>
      <c r="I238" s="10"/>
      <c r="J238" s="18" t="s">
        <v>440</v>
      </c>
      <c r="K238" s="19" t="s">
        <v>94</v>
      </c>
    </row>
    <row r="239" spans="2:11">
      <c r="B239" s="4"/>
      <c r="C239" s="6" t="s">
        <v>92</v>
      </c>
      <c r="D239" s="7">
        <v>1</v>
      </c>
      <c r="E239" s="20">
        <v>4.1500000000000004</v>
      </c>
      <c r="F239" s="20">
        <v>0.15</v>
      </c>
      <c r="G239" s="20">
        <v>0.65</v>
      </c>
      <c r="H239" s="9">
        <f t="shared" si="23"/>
        <v>0.40462500000000007</v>
      </c>
      <c r="I239" s="10"/>
      <c r="J239" s="18" t="s">
        <v>436</v>
      </c>
      <c r="K239" s="19" t="s">
        <v>78</v>
      </c>
    </row>
    <row r="240" spans="2:11">
      <c r="B240" s="4"/>
      <c r="C240" s="6"/>
      <c r="D240" s="7">
        <v>1</v>
      </c>
      <c r="E240" s="20">
        <v>2</v>
      </c>
      <c r="F240" s="20">
        <v>0.15</v>
      </c>
      <c r="G240" s="20">
        <v>0.65</v>
      </c>
      <c r="H240" s="9">
        <f t="shared" si="23"/>
        <v>0.19500000000000001</v>
      </c>
      <c r="I240" s="10"/>
      <c r="J240" s="18" t="s">
        <v>437</v>
      </c>
      <c r="K240" s="19" t="s">
        <v>78</v>
      </c>
    </row>
    <row r="241" spans="2:11">
      <c r="B241" s="4"/>
      <c r="C241" s="6"/>
      <c r="D241" s="7">
        <v>1</v>
      </c>
      <c r="E241" s="20">
        <v>0.4</v>
      </c>
      <c r="F241" s="20">
        <v>0.15</v>
      </c>
      <c r="G241" s="20">
        <v>0.65</v>
      </c>
      <c r="H241" s="9">
        <f t="shared" si="23"/>
        <v>3.9E-2</v>
      </c>
      <c r="I241" s="10"/>
      <c r="J241" s="18" t="s">
        <v>437</v>
      </c>
      <c r="K241" s="19" t="s">
        <v>78</v>
      </c>
    </row>
    <row r="242" spans="2:11">
      <c r="B242" s="4"/>
      <c r="C242" s="6"/>
      <c r="D242" s="7">
        <v>1</v>
      </c>
      <c r="E242" s="20">
        <v>1.5</v>
      </c>
      <c r="F242" s="20">
        <v>0.15</v>
      </c>
      <c r="G242" s="20">
        <v>0.5</v>
      </c>
      <c r="H242" s="9">
        <f t="shared" si="23"/>
        <v>0.11249999999999999</v>
      </c>
      <c r="I242" s="10"/>
      <c r="J242" s="18" t="s">
        <v>437</v>
      </c>
      <c r="K242" s="19" t="s">
        <v>83</v>
      </c>
    </row>
    <row r="243" spans="2:11">
      <c r="B243" s="4"/>
      <c r="C243" s="6"/>
      <c r="D243" s="7">
        <v>1</v>
      </c>
      <c r="E243" s="20">
        <v>2.9</v>
      </c>
      <c r="F243" s="20">
        <v>0.15</v>
      </c>
      <c r="G243" s="20">
        <v>0.65</v>
      </c>
      <c r="H243" s="9">
        <f t="shared" si="23"/>
        <v>0.28275</v>
      </c>
      <c r="I243" s="10"/>
      <c r="J243" s="18" t="s">
        <v>441</v>
      </c>
      <c r="K243" s="19" t="s">
        <v>78</v>
      </c>
    </row>
    <row r="244" spans="2:11">
      <c r="B244" s="4"/>
      <c r="C244" s="6"/>
      <c r="D244" s="7">
        <v>1</v>
      </c>
      <c r="E244" s="20">
        <v>3.35</v>
      </c>
      <c r="F244" s="20">
        <v>0.15</v>
      </c>
      <c r="G244" s="20">
        <v>0.95</v>
      </c>
      <c r="H244" s="9">
        <f t="shared" si="23"/>
        <v>0.47737499999999994</v>
      </c>
      <c r="I244" s="10"/>
      <c r="J244" s="18" t="s">
        <v>438</v>
      </c>
      <c r="K244" s="19" t="s">
        <v>442</v>
      </c>
    </row>
    <row r="245" spans="2:11">
      <c r="B245" s="4"/>
      <c r="C245" s="6"/>
      <c r="D245" s="7">
        <v>1</v>
      </c>
      <c r="E245" s="20">
        <v>1.8</v>
      </c>
      <c r="F245" s="20">
        <v>0.15</v>
      </c>
      <c r="G245" s="20">
        <v>0.8</v>
      </c>
      <c r="H245" s="9">
        <f t="shared" si="23"/>
        <v>0.21600000000000003</v>
      </c>
      <c r="I245" s="10"/>
      <c r="J245" s="18" t="s">
        <v>439</v>
      </c>
      <c r="K245" s="19" t="s">
        <v>84</v>
      </c>
    </row>
    <row r="246" spans="2:11">
      <c r="B246" s="4"/>
      <c r="C246" s="6"/>
      <c r="D246" s="7">
        <v>1</v>
      </c>
      <c r="E246" s="20">
        <v>2.4700000000000002</v>
      </c>
      <c r="F246" s="20">
        <v>0.15</v>
      </c>
      <c r="G246" s="20">
        <v>0.5</v>
      </c>
      <c r="H246" s="9">
        <f t="shared" si="23"/>
        <v>0.18525</v>
      </c>
      <c r="I246" s="10"/>
      <c r="J246" s="18" t="s">
        <v>440</v>
      </c>
      <c r="K246" s="19" t="s">
        <v>94</v>
      </c>
    </row>
    <row r="247" spans="2:11">
      <c r="B247" s="4"/>
      <c r="C247" s="6" t="s">
        <v>90</v>
      </c>
      <c r="D247" s="7">
        <v>1</v>
      </c>
      <c r="E247" s="20">
        <v>1.1000000000000001</v>
      </c>
      <c r="F247" s="20">
        <v>0.15</v>
      </c>
      <c r="G247" s="20">
        <v>0.8</v>
      </c>
      <c r="H247" s="9">
        <f>PRODUCT(D247:G247)</f>
        <v>0.13200000000000001</v>
      </c>
      <c r="I247" s="10"/>
      <c r="J247" s="18" t="s">
        <v>443</v>
      </c>
      <c r="K247" s="19" t="s">
        <v>84</v>
      </c>
    </row>
    <row r="248" spans="2:11">
      <c r="B248" s="4"/>
      <c r="C248" s="6"/>
      <c r="D248" s="7">
        <v>1</v>
      </c>
      <c r="E248" s="20">
        <v>0.9</v>
      </c>
      <c r="F248" s="20">
        <v>0.15</v>
      </c>
      <c r="G248" s="20">
        <v>0.5</v>
      </c>
      <c r="H248" s="9">
        <f>PRODUCT(D248:G248)</f>
        <v>6.7500000000000004E-2</v>
      </c>
      <c r="I248" s="10"/>
      <c r="J248" s="18" t="s">
        <v>443</v>
      </c>
      <c r="K248" s="19" t="s">
        <v>83</v>
      </c>
    </row>
    <row r="249" spans="2:11">
      <c r="B249" s="4"/>
      <c r="C249" s="6"/>
      <c r="D249" s="7">
        <v>1</v>
      </c>
      <c r="E249" s="20">
        <v>0.9</v>
      </c>
      <c r="F249" s="20">
        <v>0.15</v>
      </c>
      <c r="G249" s="20">
        <v>0.8</v>
      </c>
      <c r="H249" s="9">
        <f>PRODUCT(D249:G249)</f>
        <v>0.10800000000000001</v>
      </c>
      <c r="I249" s="10"/>
      <c r="J249" s="18" t="s">
        <v>444</v>
      </c>
      <c r="K249" s="19" t="s">
        <v>84</v>
      </c>
    </row>
    <row r="250" spans="2:11">
      <c r="B250" s="4"/>
      <c r="C250" s="6"/>
      <c r="D250" s="7">
        <v>1</v>
      </c>
      <c r="E250" s="20">
        <v>1</v>
      </c>
      <c r="F250" s="20">
        <v>0.15</v>
      </c>
      <c r="G250" s="20">
        <v>0.5</v>
      </c>
      <c r="H250" s="9">
        <f t="shared" ref="H250" si="24">PRODUCT(D250:G250)</f>
        <v>7.4999999999999997E-2</v>
      </c>
      <c r="I250" s="10"/>
      <c r="J250" s="18" t="s">
        <v>444</v>
      </c>
      <c r="K250" s="19" t="s">
        <v>83</v>
      </c>
    </row>
    <row r="251" spans="2:11">
      <c r="B251" s="4"/>
      <c r="C251" s="6"/>
      <c r="D251" s="7">
        <v>1</v>
      </c>
      <c r="E251" s="20">
        <v>1</v>
      </c>
      <c r="F251" s="20">
        <v>0.15</v>
      </c>
      <c r="G251" s="20">
        <v>0.5</v>
      </c>
      <c r="H251" s="9">
        <f>PRODUCT(D251:G251)</f>
        <v>7.4999999999999997E-2</v>
      </c>
      <c r="I251" s="10"/>
      <c r="J251" s="18" t="s">
        <v>444</v>
      </c>
      <c r="K251" s="19" t="s">
        <v>83</v>
      </c>
    </row>
    <row r="252" spans="2:11">
      <c r="B252" s="4"/>
      <c r="C252" s="6"/>
      <c r="D252" s="7">
        <v>1</v>
      </c>
      <c r="E252" s="20">
        <v>0.9</v>
      </c>
      <c r="F252" s="20">
        <v>0.15</v>
      </c>
      <c r="G252" s="20">
        <v>0.8</v>
      </c>
      <c r="H252" s="9">
        <f>PRODUCT(D252:G252)</f>
        <v>0.10800000000000001</v>
      </c>
      <c r="I252" s="10"/>
      <c r="J252" s="18" t="s">
        <v>444</v>
      </c>
      <c r="K252" s="19" t="s">
        <v>84</v>
      </c>
    </row>
    <row r="253" spans="2:11">
      <c r="B253" s="4"/>
      <c r="C253" s="6"/>
      <c r="D253" s="7">
        <v>1</v>
      </c>
      <c r="E253" s="20">
        <v>2.2999999999999998</v>
      </c>
      <c r="F253" s="20">
        <v>0.15</v>
      </c>
      <c r="G253" s="20">
        <v>0.5</v>
      </c>
      <c r="H253" s="9">
        <f t="shared" ref="H253:H272" si="25">PRODUCT(D253:G253)</f>
        <v>0.17249999999999999</v>
      </c>
      <c r="I253" s="10"/>
      <c r="J253" s="18" t="s">
        <v>445</v>
      </c>
      <c r="K253" s="19" t="s">
        <v>83</v>
      </c>
    </row>
    <row r="254" spans="2:11">
      <c r="B254" s="4"/>
      <c r="C254" s="6" t="s">
        <v>89</v>
      </c>
      <c r="D254" s="7">
        <v>1</v>
      </c>
      <c r="E254" s="20">
        <v>2.9</v>
      </c>
      <c r="F254" s="20">
        <v>0.15</v>
      </c>
      <c r="G254" s="20">
        <v>0.65</v>
      </c>
      <c r="H254" s="9">
        <f t="shared" si="25"/>
        <v>0.28275</v>
      </c>
      <c r="I254" s="10"/>
      <c r="J254" s="18" t="s">
        <v>446</v>
      </c>
      <c r="K254" s="19" t="s">
        <v>78</v>
      </c>
    </row>
    <row r="255" spans="2:11">
      <c r="B255" s="4"/>
      <c r="C255" s="6"/>
      <c r="D255" s="7">
        <v>1</v>
      </c>
      <c r="E255" s="20">
        <v>1.9</v>
      </c>
      <c r="F255" s="20">
        <v>0.15</v>
      </c>
      <c r="G255" s="20">
        <v>0.65</v>
      </c>
      <c r="H255" s="9">
        <f t="shared" si="25"/>
        <v>0.18525</v>
      </c>
      <c r="I255" s="10"/>
      <c r="J255" s="18" t="s">
        <v>443</v>
      </c>
      <c r="K255" s="19" t="s">
        <v>78</v>
      </c>
    </row>
    <row r="256" spans="2:11">
      <c r="B256" s="4"/>
      <c r="C256" s="6"/>
      <c r="D256" s="7">
        <v>1</v>
      </c>
      <c r="E256" s="20">
        <v>1.9</v>
      </c>
      <c r="F256" s="20">
        <v>0.15</v>
      </c>
      <c r="G256" s="20">
        <v>0.65</v>
      </c>
      <c r="H256" s="9">
        <f t="shared" si="25"/>
        <v>0.18525</v>
      </c>
      <c r="I256" s="10"/>
      <c r="J256" s="18" t="s">
        <v>444</v>
      </c>
      <c r="K256" s="19" t="s">
        <v>78</v>
      </c>
    </row>
    <row r="257" spans="2:11">
      <c r="B257" s="4"/>
      <c r="C257" s="6"/>
      <c r="D257" s="7">
        <v>1</v>
      </c>
      <c r="E257" s="20">
        <v>1.9</v>
      </c>
      <c r="F257" s="20">
        <v>0.15</v>
      </c>
      <c r="G257" s="20">
        <v>0.65</v>
      </c>
      <c r="H257" s="9">
        <f t="shared" si="25"/>
        <v>0.18525</v>
      </c>
      <c r="I257" s="10"/>
      <c r="J257" s="18" t="s">
        <v>444</v>
      </c>
      <c r="K257" s="19" t="s">
        <v>78</v>
      </c>
    </row>
    <row r="258" spans="2:11">
      <c r="B258" s="4"/>
      <c r="C258" s="6"/>
      <c r="D258" s="7">
        <v>1</v>
      </c>
      <c r="E258" s="20">
        <v>2.2999999999999998</v>
      </c>
      <c r="F258" s="20">
        <v>0.15</v>
      </c>
      <c r="G258" s="20">
        <v>0.65</v>
      </c>
      <c r="H258" s="9">
        <f t="shared" si="25"/>
        <v>0.22424999999999998</v>
      </c>
      <c r="I258" s="10"/>
      <c r="J258" s="18" t="s">
        <v>445</v>
      </c>
      <c r="K258" s="19" t="s">
        <v>78</v>
      </c>
    </row>
    <row r="259" spans="2:11">
      <c r="B259" s="4"/>
      <c r="C259" t="s">
        <v>447</v>
      </c>
      <c r="D259" s="7">
        <v>1</v>
      </c>
      <c r="E259" s="20">
        <v>2.5</v>
      </c>
      <c r="F259" s="20">
        <v>0.15</v>
      </c>
      <c r="G259" s="20">
        <v>0.65</v>
      </c>
      <c r="H259" s="9">
        <f t="shared" si="25"/>
        <v>0.24375000000000002</v>
      </c>
      <c r="I259" s="10"/>
      <c r="J259" s="18" t="s">
        <v>79</v>
      </c>
      <c r="K259" s="19" t="s">
        <v>78</v>
      </c>
    </row>
    <row r="260" spans="2:11">
      <c r="B260" s="4"/>
      <c r="C260" s="6"/>
      <c r="D260" s="7">
        <v>1</v>
      </c>
      <c r="E260" s="20">
        <v>4.4000000000000004</v>
      </c>
      <c r="F260" s="20">
        <v>0.15</v>
      </c>
      <c r="G260" s="20">
        <v>0.65</v>
      </c>
      <c r="H260" s="9">
        <f t="shared" si="25"/>
        <v>0.42900000000000005</v>
      </c>
      <c r="I260" s="10"/>
      <c r="J260" s="18" t="s">
        <v>448</v>
      </c>
      <c r="K260" s="19" t="s">
        <v>78</v>
      </c>
    </row>
    <row r="261" spans="2:11">
      <c r="B261" s="4"/>
      <c r="C261" s="6" t="s">
        <v>449</v>
      </c>
      <c r="D261" s="7">
        <v>1</v>
      </c>
      <c r="E261" s="20">
        <v>2.8</v>
      </c>
      <c r="F261" s="20">
        <v>0.15</v>
      </c>
      <c r="G261" s="20">
        <v>0.65</v>
      </c>
      <c r="H261" s="9">
        <f t="shared" si="25"/>
        <v>0.27300000000000002</v>
      </c>
      <c r="I261" s="10"/>
      <c r="J261" s="18" t="s">
        <v>80</v>
      </c>
      <c r="K261" s="19" t="s">
        <v>78</v>
      </c>
    </row>
    <row r="262" spans="2:11">
      <c r="B262" s="4"/>
      <c r="C262" s="6"/>
      <c r="D262" s="7">
        <v>1</v>
      </c>
      <c r="E262" s="20">
        <v>1.2250000000000001</v>
      </c>
      <c r="F262" s="20">
        <v>0.15</v>
      </c>
      <c r="G262" s="20">
        <v>0.65</v>
      </c>
      <c r="H262" s="9">
        <f t="shared" si="25"/>
        <v>0.1194375</v>
      </c>
      <c r="I262" s="10"/>
      <c r="J262" s="18" t="s">
        <v>461</v>
      </c>
      <c r="K262" s="19" t="s">
        <v>78</v>
      </c>
    </row>
    <row r="263" spans="2:11">
      <c r="B263" s="4"/>
      <c r="C263" s="6" t="s">
        <v>77</v>
      </c>
      <c r="D263" s="7">
        <v>1</v>
      </c>
      <c r="E263" s="20">
        <v>2.9</v>
      </c>
      <c r="F263" s="20">
        <v>0.15</v>
      </c>
      <c r="G263" s="20">
        <v>0.8</v>
      </c>
      <c r="H263" s="9">
        <f t="shared" si="25"/>
        <v>0.34800000000000003</v>
      </c>
      <c r="I263" s="10"/>
      <c r="J263" s="18" t="s">
        <v>450</v>
      </c>
      <c r="K263" s="19" t="s">
        <v>84</v>
      </c>
    </row>
    <row r="264" spans="2:11">
      <c r="B264" s="4"/>
      <c r="C264" s="6"/>
      <c r="D264" s="7">
        <v>1</v>
      </c>
      <c r="E264" s="20">
        <v>1.23</v>
      </c>
      <c r="F264" s="20">
        <v>0.15</v>
      </c>
      <c r="G264" s="20">
        <v>0.5</v>
      </c>
      <c r="H264" s="9">
        <f t="shared" si="25"/>
        <v>9.2249999999999999E-2</v>
      </c>
      <c r="I264" s="10"/>
      <c r="J264" s="18" t="s">
        <v>450</v>
      </c>
      <c r="K264" s="19" t="s">
        <v>83</v>
      </c>
    </row>
    <row r="265" spans="2:11">
      <c r="B265" s="4"/>
      <c r="C265" s="6"/>
      <c r="D265" s="7">
        <v>1</v>
      </c>
      <c r="E265" s="20">
        <v>0.75</v>
      </c>
      <c r="F265" s="20">
        <v>0.15</v>
      </c>
      <c r="G265" s="20">
        <v>0.8</v>
      </c>
      <c r="H265" s="9">
        <f t="shared" si="25"/>
        <v>0.09</v>
      </c>
      <c r="I265" s="10"/>
      <c r="J265" s="18" t="s">
        <v>79</v>
      </c>
      <c r="K265" s="19" t="s">
        <v>84</v>
      </c>
    </row>
    <row r="266" spans="2:11">
      <c r="B266" s="4"/>
      <c r="C266" s="6" t="s">
        <v>82</v>
      </c>
      <c r="D266" s="7">
        <v>1</v>
      </c>
      <c r="E266" s="20">
        <v>2.8</v>
      </c>
      <c r="F266" s="20">
        <v>0.15</v>
      </c>
      <c r="G266" s="20">
        <v>0.8</v>
      </c>
      <c r="H266" s="9">
        <f t="shared" si="25"/>
        <v>0.33600000000000002</v>
      </c>
      <c r="I266" s="10"/>
      <c r="J266" s="18" t="s">
        <v>80</v>
      </c>
      <c r="K266" s="19" t="s">
        <v>84</v>
      </c>
    </row>
    <row r="267" spans="2:11">
      <c r="B267" s="4"/>
      <c r="C267" s="6"/>
      <c r="D267" s="7">
        <v>1</v>
      </c>
      <c r="E267" s="20">
        <v>2.5</v>
      </c>
      <c r="F267" s="20">
        <v>0.15</v>
      </c>
      <c r="G267" s="20">
        <v>0.95</v>
      </c>
      <c r="H267" s="9">
        <f t="shared" si="25"/>
        <v>0.35624999999999996</v>
      </c>
      <c r="I267" s="10"/>
      <c r="J267" s="18" t="s">
        <v>79</v>
      </c>
      <c r="K267" s="19" t="s">
        <v>442</v>
      </c>
    </row>
    <row r="268" spans="2:11">
      <c r="B268" s="4"/>
      <c r="C268" s="6"/>
      <c r="D268" s="7">
        <v>1</v>
      </c>
      <c r="E268" s="20">
        <v>4.47</v>
      </c>
      <c r="F268" s="20">
        <v>0.15</v>
      </c>
      <c r="G268" s="20">
        <v>0.95</v>
      </c>
      <c r="H268" s="9">
        <f t="shared" si="25"/>
        <v>0.63697499999999996</v>
      </c>
      <c r="I268" s="10"/>
      <c r="J268" s="18" t="s">
        <v>448</v>
      </c>
      <c r="K268" s="19" t="s">
        <v>442</v>
      </c>
    </row>
    <row r="269" spans="2:11">
      <c r="B269" s="4"/>
      <c r="C269" s="6" t="s">
        <v>451</v>
      </c>
      <c r="D269" s="7">
        <v>1</v>
      </c>
      <c r="E269" s="20">
        <v>3</v>
      </c>
      <c r="F269" s="20">
        <v>0.15</v>
      </c>
      <c r="G269" s="20">
        <v>0.8</v>
      </c>
      <c r="H269" s="9">
        <f t="shared" si="25"/>
        <v>0.36</v>
      </c>
      <c r="I269" s="10"/>
      <c r="J269" s="18" t="s">
        <v>80</v>
      </c>
      <c r="K269" s="19" t="s">
        <v>84</v>
      </c>
    </row>
    <row r="270" spans="2:11">
      <c r="B270" s="4"/>
      <c r="C270" s="6" t="s">
        <v>87</v>
      </c>
      <c r="D270" s="7">
        <v>1</v>
      </c>
      <c r="E270" s="20">
        <v>2.8</v>
      </c>
      <c r="F270" s="20">
        <v>0.15</v>
      </c>
      <c r="G270" s="20">
        <v>0.8</v>
      </c>
      <c r="H270" s="9">
        <f t="shared" si="25"/>
        <v>0.33600000000000002</v>
      </c>
      <c r="I270" s="10"/>
      <c r="J270" s="18" t="s">
        <v>80</v>
      </c>
      <c r="K270" s="19" t="s">
        <v>84</v>
      </c>
    </row>
    <row r="271" spans="2:11">
      <c r="B271" s="4"/>
      <c r="C271" s="6" t="s">
        <v>452</v>
      </c>
      <c r="D271" s="7">
        <v>1</v>
      </c>
      <c r="E271" s="20">
        <v>1.3</v>
      </c>
      <c r="F271" s="20">
        <v>0.15</v>
      </c>
      <c r="G271" s="20">
        <v>0.95</v>
      </c>
      <c r="H271" s="9">
        <f t="shared" si="25"/>
        <v>0.18525</v>
      </c>
      <c r="I271" s="10"/>
      <c r="J271" s="18" t="s">
        <v>79</v>
      </c>
      <c r="K271" s="19" t="s">
        <v>442</v>
      </c>
    </row>
    <row r="272" spans="2:11">
      <c r="B272" s="4"/>
      <c r="C272" s="6"/>
      <c r="D272" s="7">
        <v>1</v>
      </c>
      <c r="E272" s="20">
        <v>1.2</v>
      </c>
      <c r="F272" s="20">
        <v>0.15</v>
      </c>
      <c r="G272" s="20">
        <v>0.8</v>
      </c>
      <c r="H272" s="9">
        <f t="shared" si="25"/>
        <v>0.14399999999999999</v>
      </c>
      <c r="I272" s="10"/>
      <c r="J272" s="18" t="s">
        <v>79</v>
      </c>
      <c r="K272" s="19" t="s">
        <v>86</v>
      </c>
    </row>
    <row r="273" spans="2:11">
      <c r="B273" s="4"/>
      <c r="C273" s="6"/>
      <c r="D273" s="7">
        <v>1</v>
      </c>
      <c r="E273" s="20">
        <v>4.49</v>
      </c>
      <c r="F273" s="20">
        <v>0.15</v>
      </c>
      <c r="G273" s="20">
        <v>0.95</v>
      </c>
      <c r="H273" s="9">
        <f>PRODUCT(D273:G273)</f>
        <v>0.63982499999999998</v>
      </c>
      <c r="I273" s="10"/>
      <c r="J273" s="18" t="s">
        <v>448</v>
      </c>
      <c r="K273" s="19" t="s">
        <v>442</v>
      </c>
    </row>
    <row r="274" spans="2:11">
      <c r="B274" s="4"/>
      <c r="C274" s="6" t="s">
        <v>453</v>
      </c>
      <c r="D274" s="7">
        <v>0</v>
      </c>
      <c r="E274" s="20">
        <v>0.5</v>
      </c>
      <c r="F274" s="20">
        <v>0.15</v>
      </c>
      <c r="G274" s="20">
        <v>0.8</v>
      </c>
      <c r="H274" s="9">
        <f>PRODUCT(D274:G274)</f>
        <v>0</v>
      </c>
      <c r="I274" s="10"/>
      <c r="J274" s="18" t="s">
        <v>79</v>
      </c>
      <c r="K274" s="19" t="s">
        <v>84</v>
      </c>
    </row>
    <row r="275" spans="2:11">
      <c r="B275" s="4"/>
      <c r="C275" s="6"/>
      <c r="D275" s="7">
        <v>1</v>
      </c>
      <c r="E275" s="20">
        <v>0.8</v>
      </c>
      <c r="F275" s="20">
        <v>0.15</v>
      </c>
      <c r="G275" s="20">
        <v>0.5</v>
      </c>
      <c r="H275" s="9">
        <f>PRODUCT(D275:G275)</f>
        <v>0.06</v>
      </c>
      <c r="I275" s="10"/>
      <c r="J275" s="18" t="s">
        <v>79</v>
      </c>
      <c r="K275" s="19" t="s">
        <v>83</v>
      </c>
    </row>
    <row r="276" spans="2:11">
      <c r="B276" s="4"/>
      <c r="C276" s="6"/>
      <c r="D276" s="7">
        <v>1</v>
      </c>
      <c r="E276" s="20">
        <v>1.1499999999999999</v>
      </c>
      <c r="F276" s="20">
        <v>0.15</v>
      </c>
      <c r="G276" s="20">
        <v>0.8</v>
      </c>
      <c r="H276" s="9">
        <f>PRODUCT(D276:G276)</f>
        <v>0.13799999999999998</v>
      </c>
      <c r="I276" s="10"/>
      <c r="J276" s="18" t="s">
        <v>79</v>
      </c>
      <c r="K276" s="19" t="s">
        <v>84</v>
      </c>
    </row>
    <row r="277" spans="2:11">
      <c r="B277" s="4"/>
      <c r="C277" s="6" t="s">
        <v>88</v>
      </c>
      <c r="D277" s="7">
        <v>1</v>
      </c>
      <c r="E277" s="20">
        <v>2.8</v>
      </c>
      <c r="F277" s="20">
        <v>0.15</v>
      </c>
      <c r="G277" s="20">
        <v>0.65</v>
      </c>
      <c r="H277" s="9">
        <f t="shared" ref="H277:H280" si="26">PRODUCT(D277:G277)</f>
        <v>0.27300000000000002</v>
      </c>
      <c r="I277" s="10"/>
      <c r="J277" s="18" t="s">
        <v>80</v>
      </c>
      <c r="K277" s="19" t="s">
        <v>78</v>
      </c>
    </row>
    <row r="278" spans="2:11">
      <c r="B278" s="4"/>
      <c r="C278" s="6"/>
      <c r="D278" s="7">
        <v>1</v>
      </c>
      <c r="E278" s="20">
        <v>0.7</v>
      </c>
      <c r="F278" s="20">
        <v>0.15</v>
      </c>
      <c r="G278" s="20">
        <v>0.65</v>
      </c>
      <c r="H278" s="9">
        <f t="shared" si="26"/>
        <v>6.8250000000000005E-2</v>
      </c>
      <c r="I278" s="10"/>
      <c r="J278" s="18" t="s">
        <v>79</v>
      </c>
      <c r="K278" s="19" t="s">
        <v>78</v>
      </c>
    </row>
    <row r="279" spans="2:11">
      <c r="B279" s="4"/>
      <c r="C279" s="6"/>
      <c r="D279" s="7">
        <v>1</v>
      </c>
      <c r="E279" s="20">
        <v>1.8</v>
      </c>
      <c r="F279" s="20">
        <v>0.15</v>
      </c>
      <c r="G279" s="20">
        <v>0.5</v>
      </c>
      <c r="H279" s="9">
        <f t="shared" si="26"/>
        <v>0.13500000000000001</v>
      </c>
      <c r="I279" s="10"/>
      <c r="J279" s="18" t="s">
        <v>79</v>
      </c>
      <c r="K279" s="19" t="s">
        <v>85</v>
      </c>
    </row>
    <row r="280" spans="2:11">
      <c r="B280" s="4"/>
      <c r="C280" s="6"/>
      <c r="D280" s="7">
        <v>1</v>
      </c>
      <c r="E280" s="20">
        <v>4.5199999999999996</v>
      </c>
      <c r="F280" s="20">
        <v>0.15</v>
      </c>
      <c r="G280" s="20">
        <v>0.65</v>
      </c>
      <c r="H280" s="9">
        <f t="shared" si="26"/>
        <v>0.44069999999999998</v>
      </c>
      <c r="I280" s="10"/>
      <c r="J280" s="18" t="s">
        <v>448</v>
      </c>
      <c r="K280" s="19" t="s">
        <v>78</v>
      </c>
    </row>
    <row r="281" spans="2:11">
      <c r="B281" s="4"/>
      <c r="C281" s="6"/>
      <c r="D281" s="7"/>
      <c r="E281" s="8"/>
      <c r="F281" s="8"/>
      <c r="G281" s="8"/>
      <c r="H281" s="9"/>
      <c r="I281" s="10"/>
      <c r="J281" s="18"/>
      <c r="K281" s="19"/>
    </row>
    <row r="282" spans="2:11">
      <c r="B282" s="4"/>
      <c r="C282" s="6"/>
      <c r="D282" s="7"/>
      <c r="E282" s="8"/>
      <c r="F282" s="8"/>
      <c r="G282" s="8"/>
      <c r="H282" s="9"/>
      <c r="I282" s="10"/>
      <c r="J282" s="18"/>
      <c r="K282" s="19"/>
    </row>
    <row r="283" spans="2:11">
      <c r="B283" s="4"/>
      <c r="C283" s="191" t="s">
        <v>124</v>
      </c>
      <c r="D283" s="191"/>
      <c r="E283" s="191"/>
      <c r="F283" s="191"/>
      <c r="G283" s="191"/>
      <c r="H283" s="192"/>
      <c r="I283" s="11">
        <f>SUM(H284:H333)</f>
        <v>151.3075</v>
      </c>
      <c r="J283" s="18" t="s">
        <v>19</v>
      </c>
      <c r="K283" s="19"/>
    </row>
    <row r="284" spans="2:11">
      <c r="B284" s="4"/>
      <c r="C284" s="6" t="s">
        <v>435</v>
      </c>
      <c r="D284" s="7">
        <v>2</v>
      </c>
      <c r="E284" s="20">
        <v>4.1500000000000004</v>
      </c>
      <c r="F284" s="20"/>
      <c r="G284" s="20">
        <v>0.65</v>
      </c>
      <c r="H284" s="9">
        <f>PRODUCT(D284:G284)</f>
        <v>5.3950000000000005</v>
      </c>
      <c r="I284" s="10"/>
      <c r="J284" s="18" t="s">
        <v>436</v>
      </c>
      <c r="K284" s="19" t="s">
        <v>78</v>
      </c>
    </row>
    <row r="285" spans="2:11">
      <c r="B285" s="4"/>
      <c r="C285" s="6"/>
      <c r="D285" s="7">
        <v>2</v>
      </c>
      <c r="E285" s="20">
        <v>4.05</v>
      </c>
      <c r="F285" s="20"/>
      <c r="G285" s="20">
        <v>0.65</v>
      </c>
      <c r="H285" s="9">
        <f t="shared" ref="H285:H286" si="27">PRODUCT(D285:G285)</f>
        <v>5.2649999999999997</v>
      </c>
      <c r="I285" s="10"/>
      <c r="J285" s="18" t="s">
        <v>437</v>
      </c>
      <c r="K285" s="19" t="s">
        <v>78</v>
      </c>
    </row>
    <row r="286" spans="2:11">
      <c r="B286" s="4"/>
      <c r="C286" s="6"/>
      <c r="D286" s="7">
        <v>2</v>
      </c>
      <c r="E286" s="20">
        <v>3.35</v>
      </c>
      <c r="F286" s="20"/>
      <c r="G286" s="20">
        <v>0.95</v>
      </c>
      <c r="H286" s="9">
        <f t="shared" si="27"/>
        <v>6.3650000000000002</v>
      </c>
      <c r="I286" s="10"/>
      <c r="J286" s="18" t="s">
        <v>438</v>
      </c>
      <c r="K286" s="122" t="s">
        <v>121</v>
      </c>
    </row>
    <row r="287" spans="2:11">
      <c r="B287" s="4"/>
      <c r="C287" s="6"/>
      <c r="D287" s="7">
        <v>2</v>
      </c>
      <c r="E287" s="20">
        <v>2.9</v>
      </c>
      <c r="F287" s="20"/>
      <c r="G287" s="20">
        <v>0.65</v>
      </c>
      <c r="H287" s="9">
        <f>PRODUCT(D287:G287)</f>
        <v>3.77</v>
      </c>
      <c r="I287" s="10"/>
      <c r="J287" s="18" t="s">
        <v>439</v>
      </c>
      <c r="K287" s="19" t="s">
        <v>78</v>
      </c>
    </row>
    <row r="288" spans="2:11">
      <c r="B288" s="4"/>
      <c r="C288" s="6" t="s">
        <v>93</v>
      </c>
      <c r="D288" s="7">
        <v>2</v>
      </c>
      <c r="E288" s="20">
        <v>1.2</v>
      </c>
      <c r="F288" s="20"/>
      <c r="G288" s="20">
        <v>0.8</v>
      </c>
      <c r="H288" s="9">
        <f t="shared" ref="H288" si="28">PRODUCT(D288:G288)</f>
        <v>1.92</v>
      </c>
      <c r="I288" s="10"/>
      <c r="J288" s="18" t="s">
        <v>439</v>
      </c>
      <c r="K288" s="19" t="s">
        <v>84</v>
      </c>
    </row>
    <row r="289" spans="2:11">
      <c r="B289" s="4"/>
      <c r="C289" s="6"/>
      <c r="D289" s="7">
        <v>2</v>
      </c>
      <c r="E289" s="20">
        <v>1.5</v>
      </c>
      <c r="F289" s="20"/>
      <c r="G289" s="20">
        <v>0.5</v>
      </c>
      <c r="H289" s="9">
        <v>0.5</v>
      </c>
      <c r="I289" s="10"/>
      <c r="J289" s="18" t="s">
        <v>439</v>
      </c>
      <c r="K289" s="19" t="s">
        <v>83</v>
      </c>
    </row>
    <row r="290" spans="2:11">
      <c r="B290" s="4"/>
      <c r="C290" s="6"/>
      <c r="D290" s="7">
        <v>2</v>
      </c>
      <c r="E290" s="20">
        <v>2.52</v>
      </c>
      <c r="F290" s="20"/>
      <c r="G290" s="20">
        <v>0.5</v>
      </c>
      <c r="H290" s="9">
        <f t="shared" ref="H290:H298" si="29">PRODUCT(D290:G290)</f>
        <v>2.52</v>
      </c>
      <c r="I290" s="10"/>
      <c r="J290" s="18" t="s">
        <v>440</v>
      </c>
      <c r="K290" s="19" t="s">
        <v>94</v>
      </c>
    </row>
    <row r="291" spans="2:11">
      <c r="B291" s="4"/>
      <c r="C291" s="6" t="s">
        <v>92</v>
      </c>
      <c r="D291" s="7">
        <v>2</v>
      </c>
      <c r="E291" s="20">
        <v>4.1500000000000004</v>
      </c>
      <c r="F291" s="20"/>
      <c r="G291" s="20">
        <v>0.65</v>
      </c>
      <c r="H291" s="9">
        <f t="shared" si="29"/>
        <v>5.3950000000000005</v>
      </c>
      <c r="I291" s="10"/>
      <c r="J291" s="18" t="s">
        <v>436</v>
      </c>
      <c r="K291" s="19" t="s">
        <v>78</v>
      </c>
    </row>
    <row r="292" spans="2:11">
      <c r="B292" s="4"/>
      <c r="C292" s="6"/>
      <c r="D292" s="7">
        <v>2</v>
      </c>
      <c r="E292" s="20">
        <v>2</v>
      </c>
      <c r="F292" s="20"/>
      <c r="G292" s="20">
        <v>0.65</v>
      </c>
      <c r="H292" s="9">
        <f t="shared" si="29"/>
        <v>2.6</v>
      </c>
      <c r="I292" s="10"/>
      <c r="J292" s="18" t="s">
        <v>437</v>
      </c>
      <c r="K292" s="19" t="s">
        <v>78</v>
      </c>
    </row>
    <row r="293" spans="2:11">
      <c r="B293" s="4"/>
      <c r="C293" s="6"/>
      <c r="D293" s="7">
        <v>2</v>
      </c>
      <c r="E293" s="20">
        <v>0.4</v>
      </c>
      <c r="F293" s="20"/>
      <c r="G293" s="20">
        <v>0.65</v>
      </c>
      <c r="H293" s="9">
        <f t="shared" si="29"/>
        <v>0.52</v>
      </c>
      <c r="I293" s="10"/>
      <c r="J293" s="18" t="s">
        <v>437</v>
      </c>
      <c r="K293" s="19" t="s">
        <v>78</v>
      </c>
    </row>
    <row r="294" spans="2:11">
      <c r="B294" s="4"/>
      <c r="C294" s="6"/>
      <c r="D294" s="7">
        <v>2</v>
      </c>
      <c r="E294" s="20">
        <v>1.5</v>
      </c>
      <c r="F294" s="20"/>
      <c r="G294" s="20">
        <v>0.5</v>
      </c>
      <c r="H294" s="9">
        <f t="shared" si="29"/>
        <v>1.5</v>
      </c>
      <c r="I294" s="10"/>
      <c r="J294" s="18" t="s">
        <v>437</v>
      </c>
      <c r="K294" s="19" t="s">
        <v>83</v>
      </c>
    </row>
    <row r="295" spans="2:11">
      <c r="B295" s="4"/>
      <c r="C295" s="6"/>
      <c r="D295" s="7">
        <v>2</v>
      </c>
      <c r="E295" s="20">
        <v>2.9</v>
      </c>
      <c r="F295" s="20"/>
      <c r="G295" s="20">
        <v>0.65</v>
      </c>
      <c r="H295" s="9">
        <f t="shared" si="29"/>
        <v>3.77</v>
      </c>
      <c r="I295" s="10"/>
      <c r="J295" s="18" t="s">
        <v>441</v>
      </c>
      <c r="K295" s="19" t="s">
        <v>78</v>
      </c>
    </row>
    <row r="296" spans="2:11">
      <c r="B296" s="4"/>
      <c r="C296" s="6"/>
      <c r="D296" s="7">
        <v>2</v>
      </c>
      <c r="E296" s="20">
        <v>3.35</v>
      </c>
      <c r="F296" s="20"/>
      <c r="G296" s="20">
        <v>0.95</v>
      </c>
      <c r="H296" s="9">
        <f t="shared" si="29"/>
        <v>6.3650000000000002</v>
      </c>
      <c r="I296" s="10"/>
      <c r="J296" s="18" t="s">
        <v>438</v>
      </c>
      <c r="K296" s="122" t="s">
        <v>442</v>
      </c>
    </row>
    <row r="297" spans="2:11">
      <c r="B297" s="4"/>
      <c r="C297" s="6"/>
      <c r="D297" s="7">
        <v>2</v>
      </c>
      <c r="E297" s="20">
        <v>1.8</v>
      </c>
      <c r="F297" s="20"/>
      <c r="G297" s="20">
        <v>0.8</v>
      </c>
      <c r="H297" s="9">
        <f t="shared" si="29"/>
        <v>2.8800000000000003</v>
      </c>
      <c r="I297" s="10"/>
      <c r="J297" s="18" t="s">
        <v>439</v>
      </c>
      <c r="K297" s="19" t="s">
        <v>84</v>
      </c>
    </row>
    <row r="298" spans="2:11">
      <c r="B298" s="4"/>
      <c r="C298" s="6"/>
      <c r="D298" s="7">
        <v>2</v>
      </c>
      <c r="E298" s="20">
        <v>2.4700000000000002</v>
      </c>
      <c r="F298" s="20"/>
      <c r="G298" s="20">
        <v>0.5</v>
      </c>
      <c r="H298" s="9">
        <f t="shared" si="29"/>
        <v>2.4700000000000002</v>
      </c>
      <c r="I298" s="10"/>
      <c r="J298" s="18" t="s">
        <v>440</v>
      </c>
      <c r="K298" s="19" t="s">
        <v>94</v>
      </c>
    </row>
    <row r="299" spans="2:11">
      <c r="B299" s="4"/>
      <c r="C299" s="6" t="s">
        <v>90</v>
      </c>
      <c r="D299" s="7">
        <v>2</v>
      </c>
      <c r="E299" s="20">
        <v>1.1000000000000001</v>
      </c>
      <c r="F299" s="20"/>
      <c r="G299" s="20">
        <v>0.8</v>
      </c>
      <c r="H299" s="9">
        <f>PRODUCT(D299:G299)</f>
        <v>1.7600000000000002</v>
      </c>
      <c r="I299" s="10"/>
      <c r="J299" s="18" t="s">
        <v>443</v>
      </c>
      <c r="K299" s="19" t="s">
        <v>84</v>
      </c>
    </row>
    <row r="300" spans="2:11">
      <c r="B300" s="4"/>
      <c r="C300" s="6"/>
      <c r="D300" s="7">
        <v>2</v>
      </c>
      <c r="E300" s="20">
        <v>0.9</v>
      </c>
      <c r="F300" s="20"/>
      <c r="G300" s="20">
        <v>0.5</v>
      </c>
      <c r="H300" s="9">
        <f>PRODUCT(D300:G300)</f>
        <v>0.9</v>
      </c>
      <c r="I300" s="10"/>
      <c r="J300" s="18" t="s">
        <v>443</v>
      </c>
      <c r="K300" s="19" t="s">
        <v>83</v>
      </c>
    </row>
    <row r="301" spans="2:11">
      <c r="B301" s="4"/>
      <c r="C301" s="6"/>
      <c r="D301" s="7">
        <v>2</v>
      </c>
      <c r="E301" s="20">
        <v>0.9</v>
      </c>
      <c r="F301" s="20"/>
      <c r="G301" s="20">
        <v>0.8</v>
      </c>
      <c r="H301" s="9">
        <f>PRODUCT(D301:G301)</f>
        <v>1.4400000000000002</v>
      </c>
      <c r="I301" s="10"/>
      <c r="J301" s="18" t="s">
        <v>444</v>
      </c>
      <c r="K301" s="19" t="s">
        <v>84</v>
      </c>
    </row>
    <row r="302" spans="2:11">
      <c r="B302" s="4"/>
      <c r="C302" s="6"/>
      <c r="D302" s="7">
        <v>2</v>
      </c>
      <c r="E302" s="20">
        <v>1</v>
      </c>
      <c r="F302" s="20"/>
      <c r="G302" s="20">
        <v>0.5</v>
      </c>
      <c r="H302" s="9">
        <f t="shared" ref="H302" si="30">PRODUCT(D302:G302)</f>
        <v>1</v>
      </c>
      <c r="I302" s="10"/>
      <c r="J302" s="18" t="s">
        <v>444</v>
      </c>
      <c r="K302" s="19" t="s">
        <v>83</v>
      </c>
    </row>
    <row r="303" spans="2:11">
      <c r="B303" s="4"/>
      <c r="C303" s="6"/>
      <c r="D303" s="7">
        <v>2</v>
      </c>
      <c r="E303" s="20">
        <v>1</v>
      </c>
      <c r="F303" s="20"/>
      <c r="G303" s="20">
        <v>0.5</v>
      </c>
      <c r="H303" s="9">
        <f>PRODUCT(D303:G303)</f>
        <v>1</v>
      </c>
      <c r="I303" s="10"/>
      <c r="J303" s="18" t="s">
        <v>444</v>
      </c>
      <c r="K303" s="19" t="s">
        <v>83</v>
      </c>
    </row>
    <row r="304" spans="2:11">
      <c r="B304" s="4"/>
      <c r="C304" s="6"/>
      <c r="D304" s="7">
        <v>2</v>
      </c>
      <c r="E304" s="20">
        <v>0.9</v>
      </c>
      <c r="F304" s="20"/>
      <c r="G304" s="20">
        <v>0.8</v>
      </c>
      <c r="H304" s="9">
        <f>PRODUCT(D304:G304)</f>
        <v>1.4400000000000002</v>
      </c>
      <c r="I304" s="10"/>
      <c r="J304" s="18" t="s">
        <v>444</v>
      </c>
      <c r="K304" s="19" t="s">
        <v>84</v>
      </c>
    </row>
    <row r="305" spans="2:11">
      <c r="B305" s="4"/>
      <c r="C305" s="6"/>
      <c r="D305" s="7">
        <v>2</v>
      </c>
      <c r="E305" s="20">
        <v>2.2999999999999998</v>
      </c>
      <c r="F305" s="20"/>
      <c r="G305" s="20">
        <v>0.5</v>
      </c>
      <c r="H305" s="9">
        <f t="shared" ref="H305:H324" si="31">PRODUCT(D305:G305)</f>
        <v>2.2999999999999998</v>
      </c>
      <c r="I305" s="10"/>
      <c r="J305" s="18" t="s">
        <v>445</v>
      </c>
      <c r="K305" s="19" t="s">
        <v>83</v>
      </c>
    </row>
    <row r="306" spans="2:11">
      <c r="B306" s="4"/>
      <c r="C306" s="6" t="s">
        <v>89</v>
      </c>
      <c r="D306" s="7">
        <v>2</v>
      </c>
      <c r="E306" s="20">
        <v>2.9</v>
      </c>
      <c r="F306" s="20"/>
      <c r="G306" s="20">
        <v>0.65</v>
      </c>
      <c r="H306" s="9">
        <f t="shared" si="31"/>
        <v>3.77</v>
      </c>
      <c r="I306" s="10"/>
      <c r="J306" s="18" t="s">
        <v>446</v>
      </c>
      <c r="K306" s="19" t="s">
        <v>78</v>
      </c>
    </row>
    <row r="307" spans="2:11">
      <c r="B307" s="4"/>
      <c r="C307" s="6"/>
      <c r="D307" s="7">
        <v>2</v>
      </c>
      <c r="E307" s="20">
        <v>1.9</v>
      </c>
      <c r="F307" s="20"/>
      <c r="G307" s="20">
        <v>0.65</v>
      </c>
      <c r="H307" s="9">
        <f t="shared" si="31"/>
        <v>2.4699999999999998</v>
      </c>
      <c r="I307" s="10"/>
      <c r="J307" s="18" t="s">
        <v>443</v>
      </c>
      <c r="K307" s="19" t="s">
        <v>78</v>
      </c>
    </row>
    <row r="308" spans="2:11">
      <c r="B308" s="4"/>
      <c r="C308" s="6"/>
      <c r="D308" s="7">
        <v>2</v>
      </c>
      <c r="E308" s="20">
        <v>1.9</v>
      </c>
      <c r="F308" s="20"/>
      <c r="G308" s="20">
        <v>0.65</v>
      </c>
      <c r="H308" s="9">
        <f t="shared" si="31"/>
        <v>2.4699999999999998</v>
      </c>
      <c r="I308" s="10"/>
      <c r="J308" s="18" t="s">
        <v>444</v>
      </c>
      <c r="K308" s="19" t="s">
        <v>78</v>
      </c>
    </row>
    <row r="309" spans="2:11">
      <c r="B309" s="4"/>
      <c r="C309" s="6"/>
      <c r="D309" s="7">
        <v>2</v>
      </c>
      <c r="E309" s="20">
        <v>1.9</v>
      </c>
      <c r="F309" s="20"/>
      <c r="G309" s="20">
        <v>0.65</v>
      </c>
      <c r="H309" s="9">
        <f t="shared" si="31"/>
        <v>2.4699999999999998</v>
      </c>
      <c r="I309" s="10"/>
      <c r="J309" s="18" t="s">
        <v>444</v>
      </c>
      <c r="K309" s="19" t="s">
        <v>78</v>
      </c>
    </row>
    <row r="310" spans="2:11">
      <c r="B310" s="4"/>
      <c r="C310" s="6"/>
      <c r="D310" s="7">
        <v>2</v>
      </c>
      <c r="E310" s="20">
        <v>2.2999999999999998</v>
      </c>
      <c r="F310" s="20"/>
      <c r="G310" s="20">
        <v>0.65</v>
      </c>
      <c r="H310" s="9">
        <f t="shared" si="31"/>
        <v>2.9899999999999998</v>
      </c>
      <c r="I310" s="10"/>
      <c r="J310" s="18" t="s">
        <v>445</v>
      </c>
      <c r="K310" s="19" t="s">
        <v>78</v>
      </c>
    </row>
    <row r="311" spans="2:11">
      <c r="B311" s="4"/>
      <c r="C311" t="s">
        <v>447</v>
      </c>
      <c r="D311" s="7">
        <v>2</v>
      </c>
      <c r="E311" s="20">
        <v>2.5</v>
      </c>
      <c r="F311" s="20"/>
      <c r="G311" s="20">
        <v>0.65</v>
      </c>
      <c r="H311" s="9">
        <f t="shared" si="31"/>
        <v>3.25</v>
      </c>
      <c r="I311" s="10"/>
      <c r="J311" s="18" t="s">
        <v>79</v>
      </c>
      <c r="K311" s="19" t="s">
        <v>78</v>
      </c>
    </row>
    <row r="312" spans="2:11">
      <c r="B312" s="4"/>
      <c r="C312" s="6"/>
      <c r="D312" s="7">
        <v>2</v>
      </c>
      <c r="E312" s="20">
        <v>4.4000000000000004</v>
      </c>
      <c r="F312" s="20"/>
      <c r="G312" s="20">
        <v>0.65</v>
      </c>
      <c r="H312" s="9">
        <f t="shared" si="31"/>
        <v>5.7200000000000006</v>
      </c>
      <c r="I312" s="10"/>
      <c r="J312" s="18" t="s">
        <v>448</v>
      </c>
      <c r="K312" s="19" t="s">
        <v>78</v>
      </c>
    </row>
    <row r="313" spans="2:11">
      <c r="B313" s="4"/>
      <c r="C313" s="6" t="s">
        <v>449</v>
      </c>
      <c r="D313" s="7">
        <v>2</v>
      </c>
      <c r="E313" s="20">
        <v>2.8</v>
      </c>
      <c r="F313" s="20"/>
      <c r="G313" s="20">
        <v>0.65</v>
      </c>
      <c r="H313" s="9">
        <f t="shared" si="31"/>
        <v>3.6399999999999997</v>
      </c>
      <c r="I313" s="10"/>
      <c r="J313" s="18" t="s">
        <v>80</v>
      </c>
      <c r="K313" s="19" t="s">
        <v>78</v>
      </c>
    </row>
    <row r="314" spans="2:11">
      <c r="B314" s="4"/>
      <c r="C314" s="6"/>
      <c r="D314" s="7">
        <v>2</v>
      </c>
      <c r="E314" s="20">
        <v>1.2250000000000001</v>
      </c>
      <c r="F314" s="20"/>
      <c r="G314" s="20">
        <v>0.65</v>
      </c>
      <c r="H314" s="9">
        <f t="shared" si="31"/>
        <v>1.5925000000000002</v>
      </c>
      <c r="I314" s="10"/>
      <c r="J314" s="18" t="s">
        <v>461</v>
      </c>
      <c r="K314" s="19" t="s">
        <v>78</v>
      </c>
    </row>
    <row r="315" spans="2:11">
      <c r="B315" s="4"/>
      <c r="C315" s="6" t="s">
        <v>77</v>
      </c>
      <c r="D315" s="7">
        <v>2</v>
      </c>
      <c r="E315" s="20">
        <v>2.9</v>
      </c>
      <c r="F315" s="20"/>
      <c r="G315" s="20">
        <v>0.8</v>
      </c>
      <c r="H315" s="9">
        <f t="shared" si="31"/>
        <v>4.6399999999999997</v>
      </c>
      <c r="I315" s="10"/>
      <c r="J315" s="18" t="s">
        <v>450</v>
      </c>
      <c r="K315" s="19" t="s">
        <v>84</v>
      </c>
    </row>
    <row r="316" spans="2:11">
      <c r="B316" s="4"/>
      <c r="C316" s="6"/>
      <c r="D316" s="7">
        <v>2</v>
      </c>
      <c r="E316" s="20">
        <v>1.23</v>
      </c>
      <c r="F316" s="20"/>
      <c r="G316" s="20">
        <v>0.5</v>
      </c>
      <c r="H316" s="9">
        <f t="shared" si="31"/>
        <v>1.23</v>
      </c>
      <c r="I316" s="10"/>
      <c r="J316" s="18" t="s">
        <v>450</v>
      </c>
      <c r="K316" s="19" t="s">
        <v>83</v>
      </c>
    </row>
    <row r="317" spans="2:11">
      <c r="B317" s="4"/>
      <c r="C317" s="6"/>
      <c r="D317" s="7">
        <v>2</v>
      </c>
      <c r="E317" s="20">
        <v>0.75</v>
      </c>
      <c r="F317" s="20"/>
      <c r="G317" s="20">
        <v>0.8</v>
      </c>
      <c r="H317" s="9">
        <f t="shared" si="31"/>
        <v>1.2000000000000002</v>
      </c>
      <c r="I317" s="10"/>
      <c r="J317" s="18" t="s">
        <v>79</v>
      </c>
      <c r="K317" s="19" t="s">
        <v>84</v>
      </c>
    </row>
    <row r="318" spans="2:11">
      <c r="B318" s="4"/>
      <c r="C318" s="6" t="s">
        <v>82</v>
      </c>
      <c r="D318" s="7">
        <v>2</v>
      </c>
      <c r="E318" s="20">
        <v>2.8</v>
      </c>
      <c r="F318" s="20"/>
      <c r="G318" s="20">
        <v>0.8</v>
      </c>
      <c r="H318" s="9">
        <f t="shared" si="31"/>
        <v>4.4799999999999995</v>
      </c>
      <c r="I318" s="10"/>
      <c r="J318" s="18" t="s">
        <v>80</v>
      </c>
      <c r="K318" s="19" t="s">
        <v>84</v>
      </c>
    </row>
    <row r="319" spans="2:11">
      <c r="B319" s="4"/>
      <c r="C319" s="6"/>
      <c r="D319" s="7">
        <v>2</v>
      </c>
      <c r="E319" s="20">
        <v>2.5</v>
      </c>
      <c r="F319" s="20"/>
      <c r="G319" s="20">
        <v>0.95</v>
      </c>
      <c r="H319" s="9">
        <f t="shared" si="31"/>
        <v>4.75</v>
      </c>
      <c r="I319" s="10"/>
      <c r="J319" s="18" t="s">
        <v>79</v>
      </c>
      <c r="K319" s="122" t="s">
        <v>442</v>
      </c>
    </row>
    <row r="320" spans="2:11">
      <c r="B320" s="4"/>
      <c r="C320" s="6"/>
      <c r="D320" s="7">
        <v>2</v>
      </c>
      <c r="E320" s="20">
        <v>4.47</v>
      </c>
      <c r="F320" s="20"/>
      <c r="G320" s="20">
        <v>0.95</v>
      </c>
      <c r="H320" s="9">
        <f t="shared" si="31"/>
        <v>8.4929999999999986</v>
      </c>
      <c r="I320" s="10"/>
      <c r="J320" s="18" t="s">
        <v>448</v>
      </c>
      <c r="K320" s="122" t="s">
        <v>442</v>
      </c>
    </row>
    <row r="321" spans="2:12">
      <c r="B321" s="4"/>
      <c r="C321" s="6" t="s">
        <v>451</v>
      </c>
      <c r="D321" s="7">
        <v>2</v>
      </c>
      <c r="E321" s="20">
        <v>3</v>
      </c>
      <c r="F321" s="20"/>
      <c r="G321" s="20">
        <v>0.8</v>
      </c>
      <c r="H321" s="9">
        <f t="shared" si="31"/>
        <v>4.8000000000000007</v>
      </c>
      <c r="I321" s="10"/>
      <c r="J321" s="18" t="s">
        <v>80</v>
      </c>
      <c r="K321" s="19" t="s">
        <v>84</v>
      </c>
    </row>
    <row r="322" spans="2:12">
      <c r="B322" s="4"/>
      <c r="C322" s="6" t="s">
        <v>87</v>
      </c>
      <c r="D322" s="7">
        <v>2</v>
      </c>
      <c r="E322" s="20">
        <v>2.8</v>
      </c>
      <c r="F322" s="20"/>
      <c r="G322" s="20">
        <v>0.8</v>
      </c>
      <c r="H322" s="9">
        <f t="shared" si="31"/>
        <v>4.4799999999999995</v>
      </c>
      <c r="I322" s="10"/>
      <c r="J322" s="18" t="s">
        <v>80</v>
      </c>
      <c r="K322" s="19" t="s">
        <v>84</v>
      </c>
    </row>
    <row r="323" spans="2:12">
      <c r="B323" s="4"/>
      <c r="C323" s="6" t="s">
        <v>452</v>
      </c>
      <c r="D323" s="7">
        <v>2</v>
      </c>
      <c r="E323" s="20">
        <v>1.3</v>
      </c>
      <c r="F323" s="20"/>
      <c r="G323" s="20">
        <v>0.95</v>
      </c>
      <c r="H323" s="9">
        <f t="shared" si="31"/>
        <v>2.4699999999999998</v>
      </c>
      <c r="I323" s="10"/>
      <c r="J323" s="18" t="s">
        <v>79</v>
      </c>
      <c r="K323" s="122" t="s">
        <v>442</v>
      </c>
    </row>
    <row r="324" spans="2:12">
      <c r="B324" s="4"/>
      <c r="C324" s="6"/>
      <c r="D324" s="7">
        <v>2</v>
      </c>
      <c r="E324" s="20">
        <v>1.2</v>
      </c>
      <c r="F324" s="20"/>
      <c r="G324" s="20">
        <v>0.8</v>
      </c>
      <c r="H324" s="9">
        <f t="shared" si="31"/>
        <v>1.92</v>
      </c>
      <c r="I324" s="10"/>
      <c r="J324" s="18" t="s">
        <v>79</v>
      </c>
      <c r="K324" s="122" t="s">
        <v>86</v>
      </c>
    </row>
    <row r="325" spans="2:12">
      <c r="B325" s="4"/>
      <c r="C325" s="6"/>
      <c r="D325" s="7">
        <v>2</v>
      </c>
      <c r="E325" s="20">
        <v>4.49</v>
      </c>
      <c r="F325" s="20"/>
      <c r="G325" s="20">
        <v>0.95</v>
      </c>
      <c r="H325" s="9">
        <f>PRODUCT(D325:G325)</f>
        <v>8.5310000000000006</v>
      </c>
      <c r="I325" s="10"/>
      <c r="J325" s="18" t="s">
        <v>448</v>
      </c>
      <c r="K325" s="122" t="s">
        <v>442</v>
      </c>
    </row>
    <row r="326" spans="2:12">
      <c r="B326" s="4"/>
      <c r="C326" s="6" t="s">
        <v>453</v>
      </c>
      <c r="D326" s="7">
        <v>0</v>
      </c>
      <c r="E326" s="20">
        <v>0.5</v>
      </c>
      <c r="F326" s="20"/>
      <c r="G326" s="20">
        <v>0.8</v>
      </c>
      <c r="H326" s="9">
        <f>PRODUCT(D326:G326)</f>
        <v>0</v>
      </c>
      <c r="I326" s="10"/>
      <c r="J326" s="18" t="s">
        <v>79</v>
      </c>
      <c r="K326" s="19" t="s">
        <v>84</v>
      </c>
    </row>
    <row r="327" spans="2:12">
      <c r="B327" s="4"/>
      <c r="C327" s="6"/>
      <c r="D327" s="7">
        <v>2</v>
      </c>
      <c r="E327" s="20">
        <v>0.8</v>
      </c>
      <c r="F327" s="20"/>
      <c r="G327" s="20">
        <v>0.5</v>
      </c>
      <c r="H327" s="9">
        <f>PRODUCT(D327:G327)</f>
        <v>0.8</v>
      </c>
      <c r="I327" s="10"/>
      <c r="J327" s="18" t="s">
        <v>79</v>
      </c>
      <c r="K327" s="19" t="s">
        <v>83</v>
      </c>
    </row>
    <row r="328" spans="2:12">
      <c r="B328" s="4"/>
      <c r="C328" s="6"/>
      <c r="D328" s="7">
        <v>2</v>
      </c>
      <c r="E328" s="20">
        <v>1.1499999999999999</v>
      </c>
      <c r="F328" s="20"/>
      <c r="G328" s="20">
        <v>0.8</v>
      </c>
      <c r="H328" s="9">
        <f>PRODUCT(D328:G328)</f>
        <v>1.8399999999999999</v>
      </c>
      <c r="I328" s="10"/>
      <c r="J328" s="18" t="s">
        <v>79</v>
      </c>
      <c r="K328" s="19" t="s">
        <v>84</v>
      </c>
    </row>
    <row r="329" spans="2:12">
      <c r="B329" s="4"/>
      <c r="C329" s="6" t="s">
        <v>88</v>
      </c>
      <c r="D329" s="7">
        <v>2</v>
      </c>
      <c r="E329" s="20">
        <v>2.8</v>
      </c>
      <c r="F329" s="20"/>
      <c r="G329" s="20">
        <v>0.65</v>
      </c>
      <c r="H329" s="9">
        <f t="shared" ref="H329:H332" si="32">PRODUCT(D329:G329)</f>
        <v>3.6399999999999997</v>
      </c>
      <c r="I329" s="10"/>
      <c r="J329" s="18" t="s">
        <v>80</v>
      </c>
      <c r="K329" s="19" t="s">
        <v>78</v>
      </c>
    </row>
    <row r="330" spans="2:12">
      <c r="B330" s="4"/>
      <c r="C330" s="6"/>
      <c r="D330" s="7">
        <v>2</v>
      </c>
      <c r="E330" s="20">
        <v>0.7</v>
      </c>
      <c r="F330" s="20"/>
      <c r="G330" s="20">
        <v>0.65</v>
      </c>
      <c r="H330" s="9">
        <f t="shared" si="32"/>
        <v>0.90999999999999992</v>
      </c>
      <c r="I330" s="10"/>
      <c r="J330" s="18" t="s">
        <v>79</v>
      </c>
      <c r="K330" s="19" t="s">
        <v>78</v>
      </c>
    </row>
    <row r="331" spans="2:12">
      <c r="B331" s="4"/>
      <c r="C331" s="6"/>
      <c r="D331" s="7">
        <v>2</v>
      </c>
      <c r="E331" s="20">
        <v>1.8</v>
      </c>
      <c r="F331" s="20"/>
      <c r="G331" s="20">
        <v>0.5</v>
      </c>
      <c r="H331" s="9">
        <f t="shared" si="32"/>
        <v>1.8</v>
      </c>
      <c r="I331" s="10"/>
      <c r="J331" s="18" t="s">
        <v>79</v>
      </c>
      <c r="K331" s="19" t="s">
        <v>85</v>
      </c>
    </row>
    <row r="332" spans="2:12">
      <c r="B332" s="4"/>
      <c r="C332" s="6"/>
      <c r="D332" s="7">
        <v>2</v>
      </c>
      <c r="E332" s="20">
        <v>4.5199999999999996</v>
      </c>
      <c r="F332" s="20"/>
      <c r="G332" s="20">
        <v>0.65</v>
      </c>
      <c r="H332" s="9">
        <f t="shared" si="32"/>
        <v>5.8759999999999994</v>
      </c>
      <c r="I332" s="10"/>
      <c r="J332" s="18" t="s">
        <v>448</v>
      </c>
      <c r="K332" s="19" t="s">
        <v>78</v>
      </c>
    </row>
    <row r="333" spans="2:12">
      <c r="B333" s="4"/>
      <c r="C333" s="6"/>
      <c r="D333" s="7"/>
      <c r="E333" s="8"/>
      <c r="F333" s="8"/>
      <c r="G333" s="8"/>
      <c r="H333" s="9"/>
      <c r="I333" s="10"/>
      <c r="J333" s="18"/>
      <c r="K333" s="19"/>
    </row>
    <row r="334" spans="2:12" ht="16.5" customHeight="1">
      <c r="B334" s="4"/>
      <c r="C334" s="191" t="s">
        <v>23</v>
      </c>
      <c r="D334" s="191"/>
      <c r="E334" s="191"/>
      <c r="F334" s="191"/>
      <c r="G334" s="191"/>
      <c r="H334" s="192"/>
      <c r="I334" s="11">
        <f>SUM(H336:H355)</f>
        <v>212.18288000000007</v>
      </c>
      <c r="J334" s="18" t="s">
        <v>24</v>
      </c>
      <c r="K334" s="19"/>
    </row>
    <row r="335" spans="2:12">
      <c r="B335" s="4"/>
      <c r="C335" s="6"/>
      <c r="D335" s="7"/>
      <c r="E335" s="8"/>
      <c r="F335" s="8"/>
      <c r="G335" s="8"/>
      <c r="H335" s="9"/>
      <c r="I335" s="10"/>
      <c r="J335" s="18"/>
      <c r="K335" s="19"/>
    </row>
    <row r="336" spans="2:12">
      <c r="B336" s="4"/>
      <c r="C336" s="6" t="s">
        <v>435</v>
      </c>
      <c r="D336" s="7">
        <v>1</v>
      </c>
      <c r="E336" s="20">
        <f>+E286+0.15+0.15</f>
        <v>3.65</v>
      </c>
      <c r="F336" s="20">
        <f>ROUND(1.55/0.2,0)</f>
        <v>8</v>
      </c>
      <c r="G336" s="20">
        <v>0.56000000000000005</v>
      </c>
      <c r="H336" s="9">
        <f t="shared" ref="H336:H337" si="33">PRODUCT(D336:G336)</f>
        <v>16.352</v>
      </c>
      <c r="I336" s="10" t="s">
        <v>26</v>
      </c>
      <c r="J336" s="18" t="s">
        <v>438</v>
      </c>
      <c r="K336" s="122" t="s">
        <v>121</v>
      </c>
      <c r="L336" t="s">
        <v>462</v>
      </c>
    </row>
    <row r="337" spans="2:12">
      <c r="B337" s="4"/>
      <c r="C337" s="6"/>
      <c r="D337" s="7">
        <v>1</v>
      </c>
      <c r="E337" s="8">
        <v>2.004</v>
      </c>
      <c r="F337" s="20">
        <f>ROUND((E336-0.15-0.15)/0.2,0)</f>
        <v>17</v>
      </c>
      <c r="G337" s="8">
        <v>0.56000000000000005</v>
      </c>
      <c r="H337" s="9">
        <f t="shared" si="33"/>
        <v>19.07808</v>
      </c>
      <c r="I337" s="10" t="s">
        <v>26</v>
      </c>
      <c r="J337" s="18"/>
      <c r="K337" s="19"/>
      <c r="L337" t="s">
        <v>130</v>
      </c>
    </row>
    <row r="338" spans="2:12">
      <c r="B338" s="4"/>
      <c r="C338" s="6"/>
      <c r="D338" s="7"/>
      <c r="E338" s="8"/>
      <c r="F338" s="8"/>
      <c r="G338" s="8"/>
      <c r="H338" s="9"/>
      <c r="I338" s="10"/>
      <c r="J338" s="18"/>
      <c r="K338" s="19"/>
    </row>
    <row r="339" spans="2:12">
      <c r="B339" s="4"/>
      <c r="C339" s="6" t="s">
        <v>92</v>
      </c>
      <c r="D339" s="7">
        <v>1</v>
      </c>
      <c r="E339" s="20">
        <f>+E296+0.15+0.15</f>
        <v>3.65</v>
      </c>
      <c r="F339" s="20">
        <f>ROUND(1.55/0.2,0)</f>
        <v>8</v>
      </c>
      <c r="G339" s="20">
        <v>0.56000000000000005</v>
      </c>
      <c r="H339" s="9">
        <f t="shared" ref="H339:H340" si="34">PRODUCT(D339:G339)</f>
        <v>16.352</v>
      </c>
      <c r="I339" s="10" t="s">
        <v>26</v>
      </c>
      <c r="J339" s="18" t="s">
        <v>438</v>
      </c>
      <c r="K339" s="122" t="s">
        <v>442</v>
      </c>
      <c r="L339" t="s">
        <v>462</v>
      </c>
    </row>
    <row r="340" spans="2:12">
      <c r="B340" s="4"/>
      <c r="C340" s="6"/>
      <c r="D340" s="7">
        <v>1</v>
      </c>
      <c r="E340" s="8">
        <v>1.85</v>
      </c>
      <c r="F340" s="20">
        <f>ROUND((E339-0.15-0.15)/0.2,0)</f>
        <v>17</v>
      </c>
      <c r="G340" s="8">
        <v>0.56000000000000005</v>
      </c>
      <c r="H340" s="9">
        <f t="shared" si="34"/>
        <v>17.612000000000002</v>
      </c>
      <c r="I340" s="10" t="s">
        <v>26</v>
      </c>
      <c r="J340" s="18"/>
      <c r="K340" s="19"/>
      <c r="L340" t="s">
        <v>130</v>
      </c>
    </row>
    <row r="341" spans="2:12">
      <c r="B341" s="4"/>
      <c r="C341" s="6"/>
      <c r="D341" s="7"/>
      <c r="E341" s="8"/>
      <c r="F341" s="8"/>
      <c r="G341" s="8"/>
      <c r="H341" s="9"/>
      <c r="I341" s="10"/>
      <c r="J341" s="18"/>
      <c r="K341" s="19"/>
    </row>
    <row r="342" spans="2:12">
      <c r="B342" s="4"/>
      <c r="C342" s="6" t="s">
        <v>82</v>
      </c>
      <c r="D342" s="7">
        <v>1</v>
      </c>
      <c r="E342" s="20">
        <f>+E319+0.15+0.15</f>
        <v>2.8</v>
      </c>
      <c r="F342" s="20">
        <f>ROUND(1.55/0.2,0)</f>
        <v>8</v>
      </c>
      <c r="G342" s="20">
        <v>0.56000000000000005</v>
      </c>
      <c r="H342" s="9">
        <f t="shared" ref="H342:H346" si="35">PRODUCT(D342:G342)</f>
        <v>12.544</v>
      </c>
      <c r="I342" s="10" t="s">
        <v>26</v>
      </c>
      <c r="J342" s="18" t="s">
        <v>79</v>
      </c>
      <c r="K342" s="122" t="s">
        <v>442</v>
      </c>
      <c r="L342" t="s">
        <v>462</v>
      </c>
    </row>
    <row r="343" spans="2:12">
      <c r="B343" s="4"/>
      <c r="C343" s="6"/>
      <c r="D343" s="7">
        <v>1</v>
      </c>
      <c r="E343" s="8">
        <v>1.85</v>
      </c>
      <c r="F343" s="20">
        <f>ROUND((E342-0.15-0.15)/0.2,0)</f>
        <v>13</v>
      </c>
      <c r="G343" s="8">
        <v>0.56000000000000005</v>
      </c>
      <c r="H343" s="9">
        <f t="shared" si="35"/>
        <v>13.468000000000002</v>
      </c>
      <c r="I343" s="10" t="s">
        <v>26</v>
      </c>
      <c r="J343" s="18"/>
      <c r="K343" s="122"/>
      <c r="L343" t="s">
        <v>130</v>
      </c>
    </row>
    <row r="344" spans="2:12">
      <c r="B344" s="4"/>
      <c r="C344" s="6"/>
      <c r="D344" s="7"/>
      <c r="E344" s="8"/>
      <c r="F344" s="20"/>
      <c r="G344" s="8"/>
      <c r="H344" s="9"/>
      <c r="I344" s="10"/>
      <c r="J344" s="18"/>
      <c r="K344" s="122"/>
    </row>
    <row r="345" spans="2:12">
      <c r="B345" s="4"/>
      <c r="C345" s="6"/>
      <c r="D345" s="7">
        <v>1</v>
      </c>
      <c r="E345" s="20">
        <f>+E320+0.15+0.15</f>
        <v>4.7700000000000005</v>
      </c>
      <c r="F345" s="20">
        <f>ROUND(1.55/0.2,0)</f>
        <v>8</v>
      </c>
      <c r="G345" s="20">
        <v>0.56000000000000005</v>
      </c>
      <c r="H345" s="9">
        <f t="shared" si="35"/>
        <v>21.369600000000005</v>
      </c>
      <c r="I345" s="10" t="s">
        <v>26</v>
      </c>
      <c r="J345" s="18" t="s">
        <v>448</v>
      </c>
      <c r="K345" s="122" t="s">
        <v>442</v>
      </c>
      <c r="L345" t="s">
        <v>462</v>
      </c>
    </row>
    <row r="346" spans="2:12">
      <c r="B346" s="4"/>
      <c r="C346" s="6"/>
      <c r="D346" s="7">
        <v>1</v>
      </c>
      <c r="E346" s="8">
        <v>1.85</v>
      </c>
      <c r="F346" s="20">
        <f>ROUND((E345-0.15-0.15)/0.2,0)</f>
        <v>22</v>
      </c>
      <c r="G346" s="8">
        <v>0.56000000000000005</v>
      </c>
      <c r="H346" s="9">
        <f t="shared" si="35"/>
        <v>22.792000000000005</v>
      </c>
      <c r="I346" s="10" t="s">
        <v>26</v>
      </c>
      <c r="J346" s="18"/>
      <c r="K346" s="19"/>
      <c r="L346" t="s">
        <v>130</v>
      </c>
    </row>
    <row r="347" spans="2:12">
      <c r="B347" s="4"/>
      <c r="C347" s="6"/>
      <c r="D347" s="7"/>
      <c r="E347" s="8"/>
      <c r="F347" s="8"/>
      <c r="G347" s="8"/>
      <c r="H347" s="9"/>
      <c r="I347" s="10"/>
      <c r="J347" s="18"/>
      <c r="K347" s="19"/>
    </row>
    <row r="348" spans="2:12">
      <c r="B348" s="4"/>
      <c r="C348" s="6" t="s">
        <v>452</v>
      </c>
      <c r="D348" s="7">
        <v>1</v>
      </c>
      <c r="E348" s="20">
        <f>+E323+0.15+0.15</f>
        <v>1.5999999999999999</v>
      </c>
      <c r="F348" s="20">
        <f>ROUND(1.55/0.2,0)</f>
        <v>8</v>
      </c>
      <c r="G348" s="20">
        <v>0.56000000000000005</v>
      </c>
      <c r="H348" s="9">
        <f t="shared" ref="H348:H349" si="36">PRODUCT(D348:G348)</f>
        <v>7.1680000000000001</v>
      </c>
      <c r="I348" s="10" t="s">
        <v>26</v>
      </c>
      <c r="J348" s="18" t="s">
        <v>79</v>
      </c>
      <c r="K348" s="122" t="s">
        <v>442</v>
      </c>
      <c r="L348" t="s">
        <v>462</v>
      </c>
    </row>
    <row r="349" spans="2:12">
      <c r="B349" s="4"/>
      <c r="C349" s="6"/>
      <c r="D349" s="7">
        <v>1</v>
      </c>
      <c r="E349" s="8">
        <v>1.85</v>
      </c>
      <c r="F349" s="20">
        <f>ROUND((E348-0.15-0.15)/0.2,0)</f>
        <v>7</v>
      </c>
      <c r="G349" s="8">
        <v>0.56000000000000005</v>
      </c>
      <c r="H349" s="9">
        <f t="shared" si="36"/>
        <v>7.2520000000000016</v>
      </c>
      <c r="I349" s="10" t="s">
        <v>26</v>
      </c>
      <c r="J349" s="18"/>
      <c r="K349" s="122"/>
      <c r="L349" t="s">
        <v>130</v>
      </c>
    </row>
    <row r="350" spans="2:12">
      <c r="B350" s="4"/>
      <c r="C350" s="6"/>
      <c r="D350" s="7"/>
      <c r="E350" s="20"/>
      <c r="F350" s="20"/>
      <c r="G350" s="20"/>
      <c r="H350" s="9"/>
      <c r="I350" s="10"/>
      <c r="J350" s="18"/>
      <c r="K350" s="122"/>
    </row>
    <row r="351" spans="2:12">
      <c r="B351" s="4"/>
      <c r="C351" s="6"/>
      <c r="D351" s="7">
        <v>1</v>
      </c>
      <c r="E351" s="20">
        <f>+E324+0.15+0.15</f>
        <v>1.4999999999999998</v>
      </c>
      <c r="F351" s="20">
        <f>ROUND(1.4/0.2,0)</f>
        <v>7</v>
      </c>
      <c r="G351" s="20">
        <v>0.8</v>
      </c>
      <c r="H351" s="9">
        <f t="shared" ref="H351:H352" si="37">PRODUCT(D351:G351)</f>
        <v>8.3999999999999986</v>
      </c>
      <c r="I351" s="10" t="s">
        <v>26</v>
      </c>
      <c r="J351" s="18" t="s">
        <v>79</v>
      </c>
      <c r="K351" s="122" t="s">
        <v>86</v>
      </c>
      <c r="L351" t="s">
        <v>462</v>
      </c>
    </row>
    <row r="352" spans="2:12">
      <c r="B352" s="4"/>
      <c r="C352" s="6"/>
      <c r="D352" s="7">
        <v>1</v>
      </c>
      <c r="E352" s="8">
        <v>1.65</v>
      </c>
      <c r="F352" s="20">
        <f>ROUND((E351-0.15-0.15)/0.2,0)</f>
        <v>6</v>
      </c>
      <c r="G352" s="8">
        <v>0.56000000000000005</v>
      </c>
      <c r="H352" s="9">
        <f t="shared" si="37"/>
        <v>5.5439999999999996</v>
      </c>
      <c r="I352" s="10" t="s">
        <v>26</v>
      </c>
      <c r="J352" s="18"/>
      <c r="K352" s="19"/>
      <c r="L352" t="s">
        <v>130</v>
      </c>
    </row>
    <row r="353" spans="2:12">
      <c r="B353" s="4"/>
      <c r="C353" s="6"/>
      <c r="D353" s="7"/>
      <c r="E353" s="20"/>
      <c r="F353" s="20"/>
      <c r="G353" s="20"/>
      <c r="H353" s="9"/>
      <c r="I353" s="10"/>
      <c r="J353" s="18"/>
      <c r="K353" s="19"/>
    </row>
    <row r="354" spans="2:12">
      <c r="B354" s="4"/>
      <c r="C354" s="6"/>
      <c r="D354" s="7">
        <v>1</v>
      </c>
      <c r="E354" s="20">
        <f>+E325+0.15+0.15</f>
        <v>4.7900000000000009</v>
      </c>
      <c r="F354" s="20">
        <f>ROUND(1.55/0.2,0)</f>
        <v>8</v>
      </c>
      <c r="G354" s="20">
        <v>0.56000000000000005</v>
      </c>
      <c r="H354" s="9">
        <f>PRODUCT(D354:G354)</f>
        <v>21.459200000000006</v>
      </c>
      <c r="I354" s="10" t="s">
        <v>26</v>
      </c>
      <c r="J354" s="18" t="s">
        <v>448</v>
      </c>
      <c r="K354" s="122" t="s">
        <v>442</v>
      </c>
      <c r="L354" t="s">
        <v>462</v>
      </c>
    </row>
    <row r="355" spans="2:12">
      <c r="B355" s="4"/>
      <c r="C355" s="6"/>
      <c r="D355" s="7">
        <v>1</v>
      </c>
      <c r="E355" s="8">
        <v>1.85</v>
      </c>
      <c r="F355" s="20">
        <f>ROUND((E354-0.15-0.15)/0.2,0)</f>
        <v>22</v>
      </c>
      <c r="G355" s="8">
        <v>0.56000000000000005</v>
      </c>
      <c r="H355" s="9">
        <f t="shared" ref="H355" si="38">PRODUCT(D355:G355)</f>
        <v>22.792000000000005</v>
      </c>
      <c r="I355" s="10" t="s">
        <v>26</v>
      </c>
      <c r="J355" s="18"/>
      <c r="K355" s="19"/>
      <c r="L355" t="s">
        <v>130</v>
      </c>
    </row>
    <row r="356" spans="2:12">
      <c r="B356" s="4"/>
      <c r="C356" s="6"/>
      <c r="D356" s="38"/>
      <c r="E356" s="8"/>
      <c r="F356" s="8"/>
      <c r="G356" s="8"/>
      <c r="H356" s="9"/>
      <c r="I356" s="10"/>
      <c r="J356" s="18"/>
      <c r="K356" s="19"/>
    </row>
    <row r="357" spans="2:12">
      <c r="B357" s="4"/>
      <c r="C357" s="6"/>
      <c r="D357" s="38"/>
      <c r="E357" s="8"/>
      <c r="F357" s="8"/>
      <c r="G357" s="8"/>
      <c r="H357" s="9"/>
      <c r="I357" s="10"/>
      <c r="J357" s="18"/>
      <c r="K357" s="19"/>
    </row>
    <row r="358" spans="2:12">
      <c r="B358" s="4">
        <v>12</v>
      </c>
      <c r="C358" s="194" t="s">
        <v>2</v>
      </c>
      <c r="D358" s="195"/>
      <c r="E358" s="195"/>
      <c r="F358" s="195"/>
      <c r="G358" s="195"/>
      <c r="H358" s="195"/>
      <c r="I358" s="5"/>
      <c r="J358" s="5"/>
      <c r="K358" s="5"/>
    </row>
    <row r="359" spans="2:12">
      <c r="B359" s="4"/>
      <c r="C359" s="191" t="s">
        <v>22</v>
      </c>
      <c r="D359" s="191"/>
      <c r="E359" s="191"/>
      <c r="F359" s="191"/>
      <c r="G359" s="191"/>
      <c r="H359" s="192"/>
      <c r="I359" s="11">
        <f>SUM(H361:H365)</f>
        <v>2.4</v>
      </c>
      <c r="J359" s="18" t="s">
        <v>21</v>
      </c>
      <c r="K359" s="19"/>
    </row>
    <row r="360" spans="2:12">
      <c r="B360" s="4"/>
      <c r="C360" s="6"/>
      <c r="D360" s="7"/>
      <c r="E360" s="8"/>
      <c r="F360" s="8"/>
      <c r="G360" s="8"/>
      <c r="H360" s="9"/>
      <c r="I360" s="10"/>
      <c r="J360" s="18"/>
      <c r="K360" s="19"/>
    </row>
    <row r="361" spans="2:12">
      <c r="B361" s="4"/>
      <c r="C361" s="30" t="s">
        <v>429</v>
      </c>
      <c r="D361" s="7">
        <v>1</v>
      </c>
      <c r="E361" s="8">
        <v>1.2</v>
      </c>
      <c r="F361" s="8">
        <v>1</v>
      </c>
      <c r="G361" s="8">
        <v>0.5</v>
      </c>
      <c r="H361" s="9">
        <f t="shared" ref="H361:H364" si="39">PRODUCT(D361:G361)</f>
        <v>0.6</v>
      </c>
      <c r="I361" s="10"/>
      <c r="J361" s="18" t="s">
        <v>430</v>
      </c>
      <c r="K361" s="19"/>
    </row>
    <row r="362" spans="2:12">
      <c r="B362" s="4"/>
      <c r="C362" s="30" t="s">
        <v>429</v>
      </c>
      <c r="D362" s="7">
        <v>1</v>
      </c>
      <c r="E362" s="8">
        <v>1.2</v>
      </c>
      <c r="F362" s="8">
        <v>1</v>
      </c>
      <c r="G362" s="8">
        <v>0.5</v>
      </c>
      <c r="H362" s="9">
        <f t="shared" si="39"/>
        <v>0.6</v>
      </c>
      <c r="I362" s="10"/>
      <c r="J362" s="18" t="s">
        <v>431</v>
      </c>
      <c r="K362" s="19"/>
    </row>
    <row r="363" spans="2:12">
      <c r="B363" s="4"/>
      <c r="C363" s="30" t="s">
        <v>432</v>
      </c>
      <c r="D363" s="7">
        <v>1</v>
      </c>
      <c r="E363" s="8">
        <v>1.2</v>
      </c>
      <c r="F363" s="8">
        <v>1</v>
      </c>
      <c r="G363" s="8">
        <v>0.5</v>
      </c>
      <c r="H363" s="9">
        <f t="shared" si="39"/>
        <v>0.6</v>
      </c>
      <c r="I363" s="10"/>
      <c r="J363" s="18" t="s">
        <v>433</v>
      </c>
      <c r="K363" s="19"/>
    </row>
    <row r="364" spans="2:12">
      <c r="B364" s="4"/>
      <c r="C364" s="30" t="s">
        <v>434</v>
      </c>
      <c r="D364" s="7">
        <v>1</v>
      </c>
      <c r="E364" s="8">
        <v>1.2</v>
      </c>
      <c r="F364" s="8">
        <v>1</v>
      </c>
      <c r="G364" s="8">
        <v>0.5</v>
      </c>
      <c r="H364" s="9">
        <f t="shared" si="39"/>
        <v>0.6</v>
      </c>
      <c r="I364" s="10"/>
      <c r="J364" s="18" t="s">
        <v>75</v>
      </c>
      <c r="K364" s="19"/>
    </row>
    <row r="365" spans="2:12">
      <c r="B365" s="4"/>
      <c r="C365" s="30"/>
      <c r="D365" s="7"/>
      <c r="E365" s="8"/>
      <c r="F365" s="8"/>
      <c r="G365" s="8"/>
      <c r="H365" s="34"/>
      <c r="I365" s="10"/>
      <c r="J365" s="18"/>
      <c r="K365" s="19"/>
    </row>
    <row r="366" spans="2:12">
      <c r="B366" s="4"/>
      <c r="C366" s="191" t="s">
        <v>23</v>
      </c>
      <c r="D366" s="191"/>
      <c r="E366" s="191"/>
      <c r="F366" s="191"/>
      <c r="G366" s="191"/>
      <c r="H366" s="192"/>
      <c r="I366" s="11">
        <f>SUM(H367:H383)</f>
        <v>203.62239999999997</v>
      </c>
      <c r="J366" s="18" t="s">
        <v>24</v>
      </c>
      <c r="K366" s="19"/>
    </row>
    <row r="367" spans="2:12">
      <c r="B367" s="4"/>
      <c r="C367" s="30"/>
      <c r="D367" s="7"/>
      <c r="E367" s="8"/>
      <c r="F367" s="8"/>
      <c r="G367" s="8"/>
      <c r="H367" s="34"/>
      <c r="I367" s="10"/>
      <c r="J367" s="18"/>
      <c r="K367" s="19"/>
    </row>
    <row r="368" spans="2:12">
      <c r="B368" s="4"/>
      <c r="C368" s="30" t="s">
        <v>429</v>
      </c>
      <c r="D368" s="7">
        <v>2</v>
      </c>
      <c r="E368" s="8">
        <f>+E361/0.2</f>
        <v>5.9999999999999991</v>
      </c>
      <c r="F368" s="8">
        <f>0.9+0.25+0.25</f>
        <v>1.4</v>
      </c>
      <c r="G368" s="8">
        <v>1.552</v>
      </c>
      <c r="H368" s="9">
        <f t="shared" ref="H368:H369" si="40">PRODUCT(D368:G368)</f>
        <v>26.073599999999995</v>
      </c>
      <c r="I368" s="10"/>
      <c r="J368" s="18" t="s">
        <v>430</v>
      </c>
      <c r="K368" s="19"/>
    </row>
    <row r="369" spans="2:11">
      <c r="B369" s="4"/>
      <c r="C369" s="30"/>
      <c r="D369" s="7">
        <v>2</v>
      </c>
      <c r="E369" s="8">
        <f>+F361/0.2</f>
        <v>5</v>
      </c>
      <c r="F369" s="8">
        <f>1.1+0.25+0.25</f>
        <v>1.6</v>
      </c>
      <c r="G369" s="8">
        <v>1.552</v>
      </c>
      <c r="H369" s="9">
        <f t="shared" si="40"/>
        <v>24.832000000000001</v>
      </c>
      <c r="I369" s="10"/>
      <c r="J369" s="18"/>
      <c r="K369" s="19"/>
    </row>
    <row r="370" spans="2:11">
      <c r="B370" s="4"/>
      <c r="C370" s="30"/>
      <c r="D370" s="7"/>
      <c r="E370" s="8"/>
      <c r="F370" s="8"/>
      <c r="G370" s="8"/>
      <c r="H370" s="9"/>
      <c r="I370" s="10"/>
      <c r="J370" s="18"/>
      <c r="K370" s="19"/>
    </row>
    <row r="371" spans="2:11">
      <c r="B371" s="4"/>
      <c r="C371" s="30"/>
      <c r="D371" s="7"/>
      <c r="E371" s="8"/>
      <c r="F371" s="8"/>
      <c r="G371" s="8"/>
      <c r="H371" s="9"/>
      <c r="I371" s="10"/>
      <c r="J371" s="18"/>
      <c r="K371" s="19"/>
    </row>
    <row r="372" spans="2:11">
      <c r="B372" s="4"/>
      <c r="C372" s="30" t="s">
        <v>429</v>
      </c>
      <c r="D372" s="7">
        <v>2</v>
      </c>
      <c r="E372" s="8">
        <f>+E362/0.2</f>
        <v>5.9999999999999991</v>
      </c>
      <c r="F372" s="8">
        <f>0.9+0.25+0.25</f>
        <v>1.4</v>
      </c>
      <c r="G372" s="8">
        <v>1.552</v>
      </c>
      <c r="H372" s="9">
        <f t="shared" ref="H372:H373" si="41">PRODUCT(D372:G372)</f>
        <v>26.073599999999995</v>
      </c>
      <c r="I372" s="10"/>
      <c r="J372" s="18" t="s">
        <v>431</v>
      </c>
      <c r="K372" s="19"/>
    </row>
    <row r="373" spans="2:11">
      <c r="B373" s="4"/>
      <c r="C373" s="30"/>
      <c r="D373" s="7">
        <v>2</v>
      </c>
      <c r="E373" s="8">
        <f>+F362/0.2</f>
        <v>5</v>
      </c>
      <c r="F373" s="8">
        <f>1.1+0.25+0.25</f>
        <v>1.6</v>
      </c>
      <c r="G373" s="8">
        <v>1.552</v>
      </c>
      <c r="H373" s="9">
        <f t="shared" si="41"/>
        <v>24.832000000000001</v>
      </c>
      <c r="I373" s="10"/>
      <c r="J373" s="18"/>
      <c r="K373" s="19"/>
    </row>
    <row r="374" spans="2:11">
      <c r="B374" s="4"/>
      <c r="C374" s="30"/>
      <c r="D374" s="7"/>
      <c r="E374" s="8"/>
      <c r="F374" s="8"/>
      <c r="G374" s="8"/>
      <c r="H374" s="9"/>
      <c r="I374" s="10"/>
      <c r="J374" s="18"/>
      <c r="K374" s="19"/>
    </row>
    <row r="375" spans="2:11">
      <c r="B375" s="4"/>
      <c r="C375" s="30"/>
      <c r="D375" s="7"/>
      <c r="E375" s="8"/>
      <c r="F375" s="8"/>
      <c r="G375" s="8"/>
      <c r="H375" s="9"/>
      <c r="I375" s="10"/>
      <c r="J375" s="18"/>
      <c r="K375" s="19"/>
    </row>
    <row r="376" spans="2:11">
      <c r="B376" s="4"/>
      <c r="C376" s="30" t="s">
        <v>432</v>
      </c>
      <c r="D376" s="7">
        <v>2</v>
      </c>
      <c r="E376" s="8">
        <f>+E363/0.2</f>
        <v>5.9999999999999991</v>
      </c>
      <c r="F376" s="8">
        <f>0.9+0.25+0.25</f>
        <v>1.4</v>
      </c>
      <c r="G376" s="8">
        <v>1.552</v>
      </c>
      <c r="H376" s="9">
        <f t="shared" ref="H376:H377" si="42">PRODUCT(D376:G376)</f>
        <v>26.073599999999995</v>
      </c>
      <c r="I376" s="10"/>
      <c r="J376" s="18" t="s">
        <v>433</v>
      </c>
      <c r="K376" s="19"/>
    </row>
    <row r="377" spans="2:11">
      <c r="B377" s="4"/>
      <c r="C377" s="30"/>
      <c r="D377" s="7">
        <v>2</v>
      </c>
      <c r="E377" s="8">
        <f>+F363/0.2</f>
        <v>5</v>
      </c>
      <c r="F377" s="8">
        <f>1.1+0.25+0.25</f>
        <v>1.6</v>
      </c>
      <c r="G377" s="8">
        <v>1.552</v>
      </c>
      <c r="H377" s="9">
        <f t="shared" si="42"/>
        <v>24.832000000000001</v>
      </c>
      <c r="I377" s="10"/>
      <c r="J377" s="18"/>
      <c r="K377" s="19"/>
    </row>
    <row r="378" spans="2:11">
      <c r="B378" s="4"/>
      <c r="C378" s="30"/>
      <c r="D378" s="7"/>
      <c r="E378" s="8"/>
      <c r="F378" s="8"/>
      <c r="G378" s="8"/>
      <c r="H378" s="9"/>
      <c r="I378" s="10"/>
      <c r="J378" s="18"/>
      <c r="K378" s="19"/>
    </row>
    <row r="379" spans="2:11">
      <c r="B379" s="4"/>
      <c r="C379" s="30"/>
      <c r="D379" s="7"/>
      <c r="E379" s="8"/>
      <c r="F379" s="8"/>
      <c r="G379" s="8"/>
      <c r="H379" s="9"/>
      <c r="I379" s="10"/>
      <c r="J379" s="18"/>
      <c r="K379" s="19"/>
    </row>
    <row r="380" spans="2:11">
      <c r="B380" s="4"/>
      <c r="C380" s="30" t="s">
        <v>434</v>
      </c>
      <c r="D380" s="7">
        <v>2</v>
      </c>
      <c r="E380" s="8">
        <f>+E364/0.2</f>
        <v>5.9999999999999991</v>
      </c>
      <c r="F380" s="8">
        <f>0.9+0.25+0.25</f>
        <v>1.4</v>
      </c>
      <c r="G380" s="8">
        <v>1.552</v>
      </c>
      <c r="H380" s="9">
        <f t="shared" ref="H380:H381" si="43">PRODUCT(D380:G380)</f>
        <v>26.073599999999995</v>
      </c>
      <c r="I380" s="10"/>
      <c r="J380" s="18" t="s">
        <v>75</v>
      </c>
      <c r="K380" s="19"/>
    </row>
    <row r="381" spans="2:11">
      <c r="B381" s="4"/>
      <c r="C381" s="30"/>
      <c r="D381" s="7">
        <v>2</v>
      </c>
      <c r="E381" s="8">
        <f>+F364/0.2</f>
        <v>5</v>
      </c>
      <c r="F381" s="8">
        <f>1.1+0.25+0.25</f>
        <v>1.6</v>
      </c>
      <c r="G381" s="8">
        <v>1.552</v>
      </c>
      <c r="H381" s="9">
        <f t="shared" si="43"/>
        <v>24.832000000000001</v>
      </c>
      <c r="I381" s="10"/>
      <c r="J381" s="18"/>
      <c r="K381" s="19"/>
    </row>
    <row r="382" spans="2:11">
      <c r="B382" s="4"/>
      <c r="C382" s="30"/>
      <c r="D382" s="7"/>
      <c r="E382" s="8"/>
      <c r="F382" s="8"/>
      <c r="G382" s="25"/>
      <c r="H382" s="34"/>
      <c r="I382" s="10"/>
      <c r="J382" s="18"/>
      <c r="K382" s="19"/>
    </row>
    <row r="383" spans="2:11">
      <c r="B383" s="4"/>
      <c r="C383" s="30"/>
      <c r="D383" s="7"/>
      <c r="E383" s="8"/>
      <c r="F383" s="8"/>
      <c r="G383" s="25"/>
      <c r="H383" s="34"/>
      <c r="I383" s="10"/>
      <c r="J383" s="18"/>
      <c r="K383" s="19"/>
    </row>
    <row r="384" spans="2:11">
      <c r="B384" s="4"/>
      <c r="C384" s="191" t="s">
        <v>27</v>
      </c>
      <c r="D384" s="191"/>
      <c r="E384" s="191"/>
      <c r="F384" s="191"/>
      <c r="G384" s="191"/>
      <c r="H384" s="192"/>
      <c r="I384" s="11">
        <f>SUM(H386:H390)</f>
        <v>8.8000000000000007</v>
      </c>
      <c r="J384" s="18" t="s">
        <v>19</v>
      </c>
      <c r="K384" s="19"/>
    </row>
    <row r="385" spans="2:11">
      <c r="B385" s="4"/>
      <c r="C385" s="6"/>
      <c r="D385" s="7"/>
      <c r="E385" s="8"/>
      <c r="F385" s="8"/>
      <c r="G385" s="8"/>
      <c r="H385" s="9"/>
      <c r="I385" s="10"/>
      <c r="J385" s="18"/>
      <c r="K385" s="19"/>
    </row>
    <row r="386" spans="2:11">
      <c r="B386" s="4"/>
      <c r="C386" s="30" t="s">
        <v>429</v>
      </c>
      <c r="D386" s="7">
        <v>1</v>
      </c>
      <c r="E386" s="8">
        <v>1.2</v>
      </c>
      <c r="F386" s="8">
        <v>1</v>
      </c>
      <c r="G386" s="8">
        <v>0.5</v>
      </c>
      <c r="H386" s="9">
        <f>+E386*G386*2+F386*G386*2</f>
        <v>2.2000000000000002</v>
      </c>
      <c r="I386" s="10"/>
      <c r="J386" s="18" t="s">
        <v>430</v>
      </c>
      <c r="K386" s="19"/>
    </row>
    <row r="387" spans="2:11">
      <c r="B387" s="4"/>
      <c r="C387" s="30" t="s">
        <v>429</v>
      </c>
      <c r="D387" s="7">
        <v>1</v>
      </c>
      <c r="E387" s="8">
        <v>1.2</v>
      </c>
      <c r="F387" s="8">
        <v>1</v>
      </c>
      <c r="G387" s="8">
        <v>0.5</v>
      </c>
      <c r="H387" s="9">
        <f t="shared" ref="H387:H389" si="44">+E387*G387*2+F387*G387*2</f>
        <v>2.2000000000000002</v>
      </c>
      <c r="I387" s="10"/>
      <c r="J387" s="18" t="s">
        <v>431</v>
      </c>
      <c r="K387" s="19"/>
    </row>
    <row r="388" spans="2:11">
      <c r="B388" s="4"/>
      <c r="C388" s="30" t="s">
        <v>432</v>
      </c>
      <c r="D388" s="7">
        <v>1</v>
      </c>
      <c r="E388" s="8">
        <v>1.2</v>
      </c>
      <c r="F388" s="8">
        <v>1</v>
      </c>
      <c r="G388" s="8">
        <v>0.5</v>
      </c>
      <c r="H388" s="9">
        <f t="shared" si="44"/>
        <v>2.2000000000000002</v>
      </c>
      <c r="I388" s="10"/>
      <c r="J388" s="18" t="s">
        <v>433</v>
      </c>
      <c r="K388" s="19"/>
    </row>
    <row r="389" spans="2:11">
      <c r="B389" s="4"/>
      <c r="C389" s="30" t="s">
        <v>434</v>
      </c>
      <c r="D389" s="7">
        <v>1</v>
      </c>
      <c r="E389" s="8">
        <v>1.2</v>
      </c>
      <c r="F389" s="8">
        <v>1</v>
      </c>
      <c r="G389" s="8">
        <v>0.5</v>
      </c>
      <c r="H389" s="9">
        <f t="shared" si="44"/>
        <v>2.2000000000000002</v>
      </c>
      <c r="I389" s="10"/>
      <c r="J389" s="18" t="s">
        <v>75</v>
      </c>
      <c r="K389" s="19"/>
    </row>
    <row r="390" spans="2:11">
      <c r="B390" s="4"/>
      <c r="C390" s="30"/>
      <c r="D390" s="7"/>
      <c r="E390" s="8"/>
      <c r="F390" s="8"/>
      <c r="G390" s="8"/>
      <c r="H390" s="34"/>
      <c r="I390" s="10"/>
      <c r="J390" s="18"/>
      <c r="K390" s="19"/>
    </row>
    <row r="391" spans="2:11">
      <c r="B391" s="4"/>
      <c r="C391" s="30"/>
      <c r="D391" s="7"/>
      <c r="E391" s="8"/>
      <c r="F391" s="8"/>
      <c r="G391" s="8"/>
      <c r="H391" s="34"/>
      <c r="I391" s="10"/>
      <c r="J391" s="18"/>
      <c r="K391" s="19"/>
    </row>
    <row r="392" spans="2:11">
      <c r="B392" s="4">
        <v>14</v>
      </c>
      <c r="C392" s="194" t="s">
        <v>5</v>
      </c>
      <c r="D392" s="195"/>
      <c r="E392" s="195"/>
      <c r="F392" s="195"/>
      <c r="G392" s="195"/>
      <c r="H392" s="195"/>
      <c r="I392" s="5"/>
      <c r="J392" s="5"/>
      <c r="K392" s="5"/>
    </row>
    <row r="393" spans="2:11">
      <c r="B393" s="4"/>
      <c r="C393" s="191" t="s">
        <v>22</v>
      </c>
      <c r="D393" s="191"/>
      <c r="E393" s="191"/>
      <c r="F393" s="191"/>
      <c r="G393" s="191"/>
      <c r="H393" s="192"/>
      <c r="I393" s="11">
        <f>SUM(H394:H439)</f>
        <v>9.1371249999999993</v>
      </c>
      <c r="J393" s="18" t="s">
        <v>21</v>
      </c>
      <c r="K393" s="19"/>
    </row>
    <row r="394" spans="2:11">
      <c r="B394" s="4"/>
      <c r="C394" s="6"/>
      <c r="D394" s="7"/>
      <c r="E394" s="8"/>
      <c r="F394" s="8"/>
      <c r="G394" s="8"/>
      <c r="H394" s="9"/>
      <c r="I394" s="10"/>
      <c r="J394" s="18"/>
      <c r="K394" s="19"/>
    </row>
    <row r="395" spans="2:11">
      <c r="B395" s="4"/>
      <c r="C395" s="30" t="s">
        <v>125</v>
      </c>
      <c r="D395" s="7">
        <v>1</v>
      </c>
      <c r="E395" s="8">
        <v>0.25</v>
      </c>
      <c r="F395" s="8">
        <v>0.25</v>
      </c>
      <c r="G395" s="8">
        <f>4.15+0.35</f>
        <v>4.5</v>
      </c>
      <c r="H395" s="34">
        <f t="shared" ref="H395:H426" si="45">PRODUCT(D395:G395)</f>
        <v>0.28125</v>
      </c>
      <c r="I395" s="10"/>
      <c r="J395" s="145" t="s">
        <v>463</v>
      </c>
      <c r="K395" s="19"/>
    </row>
    <row r="396" spans="2:11">
      <c r="B396" s="4"/>
      <c r="C396" s="30" t="s">
        <v>125</v>
      </c>
      <c r="D396" s="7">
        <v>1</v>
      </c>
      <c r="E396" s="8">
        <v>0.25</v>
      </c>
      <c r="F396" s="8">
        <v>0.25</v>
      </c>
      <c r="G396" s="8">
        <f>4.15+0.65</f>
        <v>4.8000000000000007</v>
      </c>
      <c r="H396" s="34">
        <f t="shared" si="45"/>
        <v>0.30000000000000004</v>
      </c>
      <c r="I396" s="10"/>
      <c r="J396" s="145" t="s">
        <v>464</v>
      </c>
      <c r="K396" s="19"/>
    </row>
    <row r="397" spans="2:11">
      <c r="B397" s="4"/>
      <c r="C397" s="30" t="s">
        <v>125</v>
      </c>
      <c r="D397" s="7">
        <v>1</v>
      </c>
      <c r="E397" s="8">
        <v>0.25</v>
      </c>
      <c r="F397" s="8">
        <v>0.25</v>
      </c>
      <c r="G397" s="8">
        <f>4.15+0.65</f>
        <v>4.8000000000000007</v>
      </c>
      <c r="H397" s="34">
        <f t="shared" si="45"/>
        <v>0.30000000000000004</v>
      </c>
      <c r="I397" s="10"/>
      <c r="J397" s="145" t="s">
        <v>465</v>
      </c>
      <c r="K397" s="19"/>
    </row>
    <row r="398" spans="2:11">
      <c r="B398" s="4"/>
      <c r="C398" s="30" t="s">
        <v>125</v>
      </c>
      <c r="D398" s="7">
        <v>1</v>
      </c>
      <c r="E398" s="8">
        <v>0.25</v>
      </c>
      <c r="F398" s="8">
        <v>0.25</v>
      </c>
      <c r="G398" s="8">
        <f>3.55+0.35</f>
        <v>3.9</v>
      </c>
      <c r="H398" s="34">
        <f t="shared" si="45"/>
        <v>0.24374999999999999</v>
      </c>
      <c r="I398" s="10"/>
      <c r="J398" s="145" t="s">
        <v>466</v>
      </c>
      <c r="K398" s="19"/>
    </row>
    <row r="399" spans="2:11">
      <c r="B399" s="4"/>
      <c r="C399" s="30" t="s">
        <v>125</v>
      </c>
      <c r="D399" s="7">
        <v>1</v>
      </c>
      <c r="E399" s="8">
        <v>0.25</v>
      </c>
      <c r="F399" s="8">
        <v>0.25</v>
      </c>
      <c r="G399" s="8">
        <f>4.75+0.15+0.35</f>
        <v>5.25</v>
      </c>
      <c r="H399" s="34">
        <f t="shared" si="45"/>
        <v>0.328125</v>
      </c>
      <c r="I399" s="10"/>
      <c r="J399" s="145" t="s">
        <v>467</v>
      </c>
      <c r="K399" s="19"/>
    </row>
    <row r="400" spans="2:11">
      <c r="B400" s="4"/>
      <c r="C400" s="30" t="s">
        <v>125</v>
      </c>
      <c r="D400" s="7">
        <v>1</v>
      </c>
      <c r="E400" s="8">
        <v>0.25</v>
      </c>
      <c r="F400" s="8">
        <v>0.25</v>
      </c>
      <c r="G400" s="8">
        <f>4.75+0.15+0.65</f>
        <v>5.5500000000000007</v>
      </c>
      <c r="H400" s="34">
        <f t="shared" si="45"/>
        <v>0.34687500000000004</v>
      </c>
      <c r="I400" s="10"/>
      <c r="J400" s="145" t="s">
        <v>74</v>
      </c>
      <c r="K400" s="19"/>
    </row>
    <row r="401" spans="2:11">
      <c r="B401" s="4"/>
      <c r="C401" s="30" t="s">
        <v>125</v>
      </c>
      <c r="D401" s="7">
        <v>1</v>
      </c>
      <c r="E401" s="8">
        <v>0.25</v>
      </c>
      <c r="F401" s="8">
        <v>0.25</v>
      </c>
      <c r="G401" s="8">
        <f>4.75+0.15+0.65</f>
        <v>5.5500000000000007</v>
      </c>
      <c r="H401" s="34">
        <f t="shared" si="45"/>
        <v>0.34687500000000004</v>
      </c>
      <c r="I401" s="10"/>
      <c r="J401" s="145" t="s">
        <v>468</v>
      </c>
      <c r="K401" s="19"/>
    </row>
    <row r="402" spans="2:11">
      <c r="B402" s="4"/>
      <c r="C402" s="30" t="s">
        <v>125</v>
      </c>
      <c r="D402" s="7">
        <v>1</v>
      </c>
      <c r="E402" s="8">
        <v>0.25</v>
      </c>
      <c r="F402" s="8">
        <v>0.25</v>
      </c>
      <c r="G402" s="8">
        <f>4.15+0.15+0.35</f>
        <v>4.6500000000000004</v>
      </c>
      <c r="H402" s="34">
        <f t="shared" si="45"/>
        <v>0.29062500000000002</v>
      </c>
      <c r="I402" s="10"/>
      <c r="J402" s="145" t="s">
        <v>127</v>
      </c>
      <c r="K402" s="19"/>
    </row>
    <row r="403" spans="2:11">
      <c r="B403" s="4"/>
      <c r="C403" s="30" t="s">
        <v>125</v>
      </c>
      <c r="D403" s="7">
        <v>1</v>
      </c>
      <c r="E403" s="8">
        <v>0.25</v>
      </c>
      <c r="F403" s="8">
        <v>0.25</v>
      </c>
      <c r="G403" s="8">
        <f>4.16+0.15+0.35</f>
        <v>4.66</v>
      </c>
      <c r="H403" s="34">
        <f t="shared" si="45"/>
        <v>0.29125000000000001</v>
      </c>
      <c r="I403" s="10"/>
      <c r="J403" s="145" t="s">
        <v>469</v>
      </c>
      <c r="K403" s="19"/>
    </row>
    <row r="404" spans="2:11">
      <c r="B404" s="4"/>
      <c r="C404" s="30" t="s">
        <v>125</v>
      </c>
      <c r="D404" s="7">
        <v>1</v>
      </c>
      <c r="E404" s="8">
        <v>0.25</v>
      </c>
      <c r="F404" s="8">
        <v>0.25</v>
      </c>
      <c r="G404" s="8">
        <f>4.16+0.15+0.35</f>
        <v>4.66</v>
      </c>
      <c r="H404" s="34">
        <f t="shared" si="45"/>
        <v>0.29125000000000001</v>
      </c>
      <c r="I404" s="10"/>
      <c r="J404" s="145" t="s">
        <v>73</v>
      </c>
      <c r="K404" s="19"/>
    </row>
    <row r="405" spans="2:11">
      <c r="B405" s="4"/>
      <c r="C405" s="30" t="s">
        <v>125</v>
      </c>
      <c r="D405" s="7">
        <v>1</v>
      </c>
      <c r="E405" s="8">
        <v>0.25</v>
      </c>
      <c r="F405" s="8">
        <v>0.25</v>
      </c>
      <c r="G405" s="8">
        <f>4.16+0.15+0.35</f>
        <v>4.66</v>
      </c>
      <c r="H405" s="34">
        <f t="shared" si="45"/>
        <v>0.29125000000000001</v>
      </c>
      <c r="I405" s="10"/>
      <c r="J405" s="145" t="s">
        <v>470</v>
      </c>
      <c r="K405" s="19"/>
    </row>
    <row r="406" spans="2:11">
      <c r="B406" s="4"/>
      <c r="C406" s="30" t="s">
        <v>125</v>
      </c>
      <c r="D406" s="7">
        <v>1</v>
      </c>
      <c r="E406" s="8">
        <v>0.25</v>
      </c>
      <c r="F406" s="8">
        <v>0.25</v>
      </c>
      <c r="G406" s="8">
        <f>4.15+0.15+0.35</f>
        <v>4.6500000000000004</v>
      </c>
      <c r="H406" s="34">
        <f t="shared" si="45"/>
        <v>0.29062500000000002</v>
      </c>
      <c r="I406" s="10"/>
      <c r="J406" s="145" t="s">
        <v>70</v>
      </c>
      <c r="K406" s="19"/>
    </row>
    <row r="407" spans="2:11">
      <c r="B407" s="4"/>
      <c r="C407" s="30" t="s">
        <v>125</v>
      </c>
      <c r="D407" s="7">
        <v>1</v>
      </c>
      <c r="E407" s="8">
        <v>0.25</v>
      </c>
      <c r="F407" s="8">
        <v>0.25</v>
      </c>
      <c r="G407" s="8">
        <f>4.15+0.15+0.35</f>
        <v>4.6500000000000004</v>
      </c>
      <c r="H407" s="34">
        <f t="shared" si="45"/>
        <v>0.29062500000000002</v>
      </c>
      <c r="I407" s="10"/>
      <c r="J407" s="145" t="s">
        <v>71</v>
      </c>
      <c r="K407" s="19"/>
    </row>
    <row r="408" spans="2:11">
      <c r="B408" s="4"/>
      <c r="C408" s="30" t="s">
        <v>125</v>
      </c>
      <c r="D408" s="7">
        <v>1</v>
      </c>
      <c r="E408" s="8">
        <v>0.25</v>
      </c>
      <c r="F408" s="8">
        <v>0.25</v>
      </c>
      <c r="G408" s="8">
        <f>4.16+0.15+0.35</f>
        <v>4.66</v>
      </c>
      <c r="H408" s="34">
        <f t="shared" si="45"/>
        <v>0.29125000000000001</v>
      </c>
      <c r="I408" s="10"/>
      <c r="J408" s="145" t="s">
        <v>72</v>
      </c>
      <c r="K408" s="19"/>
    </row>
    <row r="409" spans="2:11">
      <c r="B409" s="4"/>
      <c r="C409" s="30" t="s">
        <v>125</v>
      </c>
      <c r="D409" s="7">
        <v>1</v>
      </c>
      <c r="E409" s="8">
        <v>0.25</v>
      </c>
      <c r="F409" s="8">
        <v>0.25</v>
      </c>
      <c r="G409" s="8">
        <f>4+0.35</f>
        <v>4.3499999999999996</v>
      </c>
      <c r="H409" s="34">
        <f t="shared" si="45"/>
        <v>0.27187499999999998</v>
      </c>
      <c r="I409" s="10"/>
      <c r="J409" s="145" t="s">
        <v>471</v>
      </c>
      <c r="K409" s="19"/>
    </row>
    <row r="410" spans="2:11">
      <c r="B410" s="4"/>
      <c r="C410" s="30" t="s">
        <v>125</v>
      </c>
      <c r="D410" s="7">
        <v>1</v>
      </c>
      <c r="E410" s="8">
        <v>0.25</v>
      </c>
      <c r="F410" s="8">
        <v>0.25</v>
      </c>
      <c r="G410" s="8">
        <f>4+0.35</f>
        <v>4.3499999999999996</v>
      </c>
      <c r="H410" s="34">
        <f t="shared" si="45"/>
        <v>0.27187499999999998</v>
      </c>
      <c r="I410" s="10"/>
      <c r="J410" s="145" t="s">
        <v>66</v>
      </c>
      <c r="K410" s="19"/>
    </row>
    <row r="411" spans="2:11">
      <c r="B411" s="4"/>
      <c r="C411" s="30" t="s">
        <v>125</v>
      </c>
      <c r="D411" s="7">
        <v>1</v>
      </c>
      <c r="E411" s="8">
        <v>0.25</v>
      </c>
      <c r="F411" s="8">
        <v>0.25</v>
      </c>
      <c r="G411" s="8">
        <f>4+0.35</f>
        <v>4.3499999999999996</v>
      </c>
      <c r="H411" s="34">
        <f t="shared" si="45"/>
        <v>0.27187499999999998</v>
      </c>
      <c r="I411" s="10"/>
      <c r="J411" s="145" t="s">
        <v>67</v>
      </c>
      <c r="K411" s="19"/>
    </row>
    <row r="412" spans="2:11">
      <c r="B412" s="4"/>
      <c r="C412" s="30" t="s">
        <v>125</v>
      </c>
      <c r="D412" s="7">
        <v>1</v>
      </c>
      <c r="E412" s="8">
        <v>0.25</v>
      </c>
      <c r="F412" s="8">
        <v>0.25</v>
      </c>
      <c r="G412" s="8">
        <f>4+0.35</f>
        <v>4.3499999999999996</v>
      </c>
      <c r="H412" s="34">
        <f t="shared" si="45"/>
        <v>0.27187499999999998</v>
      </c>
      <c r="I412" s="10"/>
      <c r="J412" s="145" t="s">
        <v>472</v>
      </c>
      <c r="K412" s="19"/>
    </row>
    <row r="413" spans="2:11">
      <c r="B413" s="4"/>
      <c r="C413" s="30" t="s">
        <v>125</v>
      </c>
      <c r="D413" s="7">
        <v>1</v>
      </c>
      <c r="E413" s="8">
        <v>0.25</v>
      </c>
      <c r="F413" s="8">
        <v>0.25</v>
      </c>
      <c r="G413" s="8">
        <f>4+0.35</f>
        <v>4.3499999999999996</v>
      </c>
      <c r="H413" s="34">
        <f t="shared" si="45"/>
        <v>0.27187499999999998</v>
      </c>
      <c r="I413" s="10"/>
      <c r="J413" s="145" t="s">
        <v>68</v>
      </c>
      <c r="K413" s="19"/>
    </row>
    <row r="414" spans="2:11">
      <c r="B414" s="4"/>
      <c r="C414" s="35"/>
      <c r="D414" s="7"/>
      <c r="E414" s="8"/>
      <c r="F414" s="8"/>
      <c r="G414" s="8"/>
      <c r="H414" s="34"/>
      <c r="I414" s="10"/>
      <c r="J414" s="145"/>
      <c r="K414" s="19"/>
    </row>
    <row r="415" spans="2:11">
      <c r="B415" s="4"/>
      <c r="C415" s="30" t="s">
        <v>126</v>
      </c>
      <c r="D415" s="7">
        <v>1</v>
      </c>
      <c r="E415" s="8">
        <v>0.25</v>
      </c>
      <c r="F415" s="8">
        <v>0.4</v>
      </c>
      <c r="G415" s="8">
        <f>4.15+0.35</f>
        <v>4.5</v>
      </c>
      <c r="H415" s="34">
        <f t="shared" si="45"/>
        <v>0.45</v>
      </c>
      <c r="I415" s="10"/>
      <c r="J415" s="145" t="s">
        <v>473</v>
      </c>
      <c r="K415" s="19"/>
    </row>
    <row r="416" spans="2:11">
      <c r="B416" s="4"/>
      <c r="C416" s="30" t="s">
        <v>126</v>
      </c>
      <c r="D416" s="7">
        <v>1</v>
      </c>
      <c r="E416" s="8">
        <v>0.25</v>
      </c>
      <c r="F416" s="8">
        <v>0.4</v>
      </c>
      <c r="G416" s="8">
        <f>4.75+0.15+0.35</f>
        <v>5.25</v>
      </c>
      <c r="H416" s="34">
        <f t="shared" si="45"/>
        <v>0.52500000000000002</v>
      </c>
      <c r="I416" s="10"/>
      <c r="J416" s="145" t="s">
        <v>474</v>
      </c>
      <c r="K416" s="19"/>
    </row>
    <row r="417" spans="2:11">
      <c r="B417" s="4"/>
      <c r="C417" s="30"/>
      <c r="D417" s="7"/>
      <c r="E417" s="8"/>
      <c r="F417" s="8"/>
      <c r="G417" s="8"/>
      <c r="H417" s="34"/>
      <c r="I417" s="10"/>
      <c r="J417" s="145"/>
      <c r="K417" s="19"/>
    </row>
    <row r="418" spans="2:11">
      <c r="B418" s="4"/>
      <c r="C418" s="30" t="s">
        <v>475</v>
      </c>
      <c r="D418" s="7">
        <v>1</v>
      </c>
      <c r="E418" s="8">
        <v>0.25</v>
      </c>
      <c r="F418" s="8">
        <v>0.3</v>
      </c>
      <c r="G418" s="8">
        <f>4.49+0.15+0.35</f>
        <v>4.99</v>
      </c>
      <c r="H418" s="34">
        <f t="shared" si="45"/>
        <v>0.37425000000000003</v>
      </c>
      <c r="I418" s="10"/>
      <c r="J418" s="145" t="s">
        <v>476</v>
      </c>
      <c r="K418" s="19"/>
    </row>
    <row r="419" spans="2:11">
      <c r="B419" s="4"/>
      <c r="C419" s="30" t="s">
        <v>475</v>
      </c>
      <c r="D419" s="7">
        <v>1</v>
      </c>
      <c r="E419" s="8">
        <v>0.25</v>
      </c>
      <c r="F419" s="8">
        <v>0.3</v>
      </c>
      <c r="G419" s="8">
        <f>4.49+0.15+0.65</f>
        <v>5.2900000000000009</v>
      </c>
      <c r="H419" s="34">
        <f t="shared" si="45"/>
        <v>0.39675000000000005</v>
      </c>
      <c r="I419" s="10"/>
      <c r="J419" s="145" t="s">
        <v>477</v>
      </c>
      <c r="K419" s="19"/>
    </row>
    <row r="420" spans="2:11">
      <c r="B420" s="4"/>
      <c r="C420" s="30" t="s">
        <v>475</v>
      </c>
      <c r="D420" s="7">
        <v>1</v>
      </c>
      <c r="E420" s="8">
        <v>0.25</v>
      </c>
      <c r="F420" s="8">
        <v>0.3</v>
      </c>
      <c r="G420" s="8">
        <f>4.49+0.15+0.65</f>
        <v>5.2900000000000009</v>
      </c>
      <c r="H420" s="34">
        <f t="shared" si="45"/>
        <v>0.39675000000000005</v>
      </c>
      <c r="I420" s="10"/>
      <c r="J420" s="145" t="s">
        <v>478</v>
      </c>
      <c r="K420" s="19"/>
    </row>
    <row r="421" spans="2:11">
      <c r="B421" s="4"/>
      <c r="C421" s="30" t="s">
        <v>475</v>
      </c>
      <c r="D421" s="7">
        <v>1</v>
      </c>
      <c r="E421" s="8">
        <v>0.25</v>
      </c>
      <c r="F421" s="8">
        <v>0.3</v>
      </c>
      <c r="G421" s="8">
        <f>3.9+0.15+0.35</f>
        <v>4.3999999999999995</v>
      </c>
      <c r="H421" s="34">
        <f t="shared" si="45"/>
        <v>0.32999999999999996</v>
      </c>
      <c r="I421" s="10"/>
      <c r="J421" s="145" t="s">
        <v>128</v>
      </c>
      <c r="K421" s="19"/>
    </row>
    <row r="422" spans="2:11">
      <c r="B422" s="4"/>
      <c r="C422" s="30"/>
      <c r="D422" s="7"/>
      <c r="E422" s="8"/>
      <c r="F422" s="8"/>
      <c r="G422" s="8"/>
      <c r="H422" s="34"/>
      <c r="I422" s="10"/>
      <c r="J422" s="145"/>
      <c r="K422" s="19"/>
    </row>
    <row r="423" spans="2:11">
      <c r="B423" s="4"/>
      <c r="C423" s="30" t="s">
        <v>479</v>
      </c>
      <c r="D423" s="7">
        <v>1</v>
      </c>
      <c r="E423" s="8">
        <v>0.15</v>
      </c>
      <c r="F423" s="8">
        <v>0.15</v>
      </c>
      <c r="G423" s="8">
        <f>4.75+0.15+0.35</f>
        <v>5.25</v>
      </c>
      <c r="H423" s="34">
        <f t="shared" si="45"/>
        <v>0.11812499999999999</v>
      </c>
      <c r="I423" s="10"/>
      <c r="J423" s="145" t="s">
        <v>480</v>
      </c>
      <c r="K423" s="19"/>
    </row>
    <row r="424" spans="2:11">
      <c r="B424" s="4"/>
      <c r="C424" s="30" t="s">
        <v>479</v>
      </c>
      <c r="D424" s="7">
        <v>1</v>
      </c>
      <c r="E424" s="8">
        <v>0.15</v>
      </c>
      <c r="F424" s="8">
        <v>0.15</v>
      </c>
      <c r="G424" s="8">
        <f>4.15+0.15+0.35</f>
        <v>4.6500000000000004</v>
      </c>
      <c r="H424" s="34">
        <f t="shared" si="45"/>
        <v>0.10462500000000001</v>
      </c>
      <c r="I424" s="10"/>
      <c r="J424" s="145" t="s">
        <v>69</v>
      </c>
      <c r="K424" s="19"/>
    </row>
    <row r="425" spans="2:11">
      <c r="B425" s="4"/>
      <c r="C425" s="30" t="s">
        <v>479</v>
      </c>
      <c r="D425" s="7">
        <v>1</v>
      </c>
      <c r="E425" s="8">
        <v>0.15</v>
      </c>
      <c r="F425" s="8">
        <v>0.15</v>
      </c>
      <c r="G425" s="8">
        <f>4.15+0.15+0.35</f>
        <v>4.6500000000000004</v>
      </c>
      <c r="H425" s="34">
        <f t="shared" si="45"/>
        <v>0.10462500000000001</v>
      </c>
      <c r="I425" s="10"/>
      <c r="J425" s="145" t="s">
        <v>481</v>
      </c>
      <c r="K425" s="19"/>
    </row>
    <row r="426" spans="2:11">
      <c r="B426" s="4"/>
      <c r="C426" s="30" t="s">
        <v>479</v>
      </c>
      <c r="D426" s="7">
        <v>1</v>
      </c>
      <c r="E426" s="8">
        <v>0.15</v>
      </c>
      <c r="F426" s="8">
        <v>0.15</v>
      </c>
      <c r="G426" s="8">
        <f>4+0.35</f>
        <v>4.3499999999999996</v>
      </c>
      <c r="H426" s="34">
        <f t="shared" si="45"/>
        <v>9.787499999999999E-2</v>
      </c>
      <c r="I426" s="10"/>
      <c r="J426" s="145" t="s">
        <v>482</v>
      </c>
      <c r="K426" s="19"/>
    </row>
    <row r="427" spans="2:11">
      <c r="B427" s="4"/>
      <c r="C427" s="30"/>
      <c r="D427" s="7"/>
      <c r="E427" s="8"/>
      <c r="F427" s="8"/>
      <c r="G427" s="8"/>
      <c r="H427" s="34"/>
      <c r="I427" s="10"/>
      <c r="J427" s="145"/>
      <c r="K427" s="19"/>
    </row>
    <row r="428" spans="2:11">
      <c r="B428" s="4"/>
      <c r="C428" s="30" t="s">
        <v>483</v>
      </c>
      <c r="D428" s="7">
        <v>1</v>
      </c>
      <c r="E428" s="8">
        <v>0.25</v>
      </c>
      <c r="F428" s="8">
        <v>0.15</v>
      </c>
      <c r="G428" s="8">
        <f>2.4+0.2</f>
        <v>2.6</v>
      </c>
      <c r="H428" s="34">
        <f t="shared" ref="H428:H431" si="46">PRODUCT(D428:G428)</f>
        <v>9.7500000000000003E-2</v>
      </c>
      <c r="I428" s="10"/>
      <c r="J428" s="145" t="s">
        <v>484</v>
      </c>
      <c r="K428" s="19"/>
    </row>
    <row r="429" spans="2:11">
      <c r="B429" s="4"/>
      <c r="C429" s="30" t="s">
        <v>483</v>
      </c>
      <c r="D429" s="7">
        <v>1</v>
      </c>
      <c r="E429" s="8">
        <v>0.25</v>
      </c>
      <c r="F429" s="8">
        <v>0.15</v>
      </c>
      <c r="G429" s="8">
        <f t="shared" ref="G429:G431" si="47">2.4+0.2</f>
        <v>2.6</v>
      </c>
      <c r="H429" s="34">
        <f t="shared" si="46"/>
        <v>9.7500000000000003E-2</v>
      </c>
      <c r="I429" s="10"/>
      <c r="J429" s="145" t="s">
        <v>128</v>
      </c>
      <c r="K429" s="19"/>
    </row>
    <row r="430" spans="2:11">
      <c r="B430" s="4"/>
      <c r="C430" s="30" t="s">
        <v>483</v>
      </c>
      <c r="D430" s="7">
        <v>1</v>
      </c>
      <c r="E430" s="8">
        <v>0.25</v>
      </c>
      <c r="F430" s="8">
        <v>0.15</v>
      </c>
      <c r="G430" s="8">
        <f t="shared" si="47"/>
        <v>2.6</v>
      </c>
      <c r="H430" s="34">
        <f t="shared" si="46"/>
        <v>9.7500000000000003E-2</v>
      </c>
      <c r="I430" s="10"/>
      <c r="J430" s="145" t="s">
        <v>127</v>
      </c>
      <c r="K430" s="19"/>
    </row>
    <row r="431" spans="2:11">
      <c r="B431" s="4"/>
      <c r="C431" s="30" t="s">
        <v>483</v>
      </c>
      <c r="D431" s="7">
        <v>1</v>
      </c>
      <c r="E431" s="8">
        <v>0.25</v>
      </c>
      <c r="F431" s="8">
        <v>0.15</v>
      </c>
      <c r="G431" s="8">
        <f t="shared" si="47"/>
        <v>2.6</v>
      </c>
      <c r="H431" s="34">
        <f t="shared" si="46"/>
        <v>9.7500000000000003E-2</v>
      </c>
      <c r="I431" s="10"/>
      <c r="J431" s="145" t="s">
        <v>127</v>
      </c>
      <c r="K431" s="19"/>
    </row>
    <row r="432" spans="2:11">
      <c r="B432" s="4"/>
      <c r="C432" s="30"/>
      <c r="D432" s="7"/>
      <c r="E432" s="8"/>
      <c r="F432" s="8"/>
      <c r="G432" s="8"/>
      <c r="H432" s="34"/>
      <c r="I432" s="10"/>
      <c r="J432" s="144"/>
      <c r="K432" s="19"/>
    </row>
    <row r="433" spans="2:11">
      <c r="B433" s="4"/>
      <c r="C433" s="30" t="s">
        <v>485</v>
      </c>
      <c r="D433" s="7"/>
      <c r="E433" s="8"/>
      <c r="F433" s="8"/>
      <c r="G433" s="8"/>
      <c r="H433" s="34"/>
      <c r="I433" s="10"/>
      <c r="J433" s="18"/>
      <c r="K433" s="19"/>
    </row>
    <row r="434" spans="2:11">
      <c r="B434" s="4"/>
      <c r="C434" s="30" t="s">
        <v>479</v>
      </c>
      <c r="D434" s="7">
        <v>4</v>
      </c>
      <c r="E434" s="8">
        <v>0.15</v>
      </c>
      <c r="F434" s="8">
        <v>0.15</v>
      </c>
      <c r="G434" s="8">
        <v>1.7</v>
      </c>
      <c r="H434" s="34">
        <f t="shared" ref="H434:H435" si="48">PRODUCT(D434:G434)</f>
        <v>0.153</v>
      </c>
      <c r="I434" s="10"/>
      <c r="J434" s="18"/>
      <c r="K434" s="19"/>
    </row>
    <row r="435" spans="2:11">
      <c r="B435" s="4"/>
      <c r="C435" s="30" t="s">
        <v>479</v>
      </c>
      <c r="D435" s="7">
        <v>4</v>
      </c>
      <c r="E435" s="8">
        <v>0.15</v>
      </c>
      <c r="F435" s="8">
        <v>0.15</v>
      </c>
      <c r="G435" s="8">
        <v>1.7</v>
      </c>
      <c r="H435" s="34">
        <f t="shared" si="48"/>
        <v>0.153</v>
      </c>
      <c r="I435" s="10"/>
      <c r="J435" s="18"/>
      <c r="K435" s="19"/>
    </row>
    <row r="436" spans="2:11">
      <c r="B436" s="4"/>
      <c r="C436" s="30"/>
      <c r="D436" s="7"/>
      <c r="E436" s="8"/>
      <c r="F436" s="8"/>
      <c r="G436" s="8"/>
      <c r="H436" s="34"/>
      <c r="I436" s="10"/>
      <c r="J436" s="18"/>
      <c r="K436" s="19"/>
    </row>
    <row r="437" spans="2:11">
      <c r="B437" s="4"/>
      <c r="C437" s="30"/>
      <c r="D437" s="7"/>
      <c r="E437" s="8"/>
      <c r="F437" s="8"/>
      <c r="G437" s="8"/>
      <c r="H437" s="34"/>
      <c r="I437" s="10"/>
      <c r="J437" s="18"/>
      <c r="K437" s="19"/>
    </row>
    <row r="438" spans="2:11">
      <c r="B438" s="4"/>
      <c r="C438" s="30"/>
      <c r="D438" s="7"/>
      <c r="E438" s="8"/>
      <c r="F438" s="8"/>
      <c r="G438" s="8"/>
      <c r="H438" s="34"/>
      <c r="I438" s="10"/>
      <c r="J438" s="18"/>
      <c r="K438" s="19"/>
    </row>
    <row r="439" spans="2:11">
      <c r="B439" s="4"/>
      <c r="C439" s="30"/>
      <c r="D439" s="7"/>
      <c r="E439" s="8"/>
      <c r="F439" s="8"/>
      <c r="G439" s="8"/>
      <c r="H439" s="34"/>
      <c r="I439" s="10"/>
      <c r="J439" s="18"/>
      <c r="K439" s="19"/>
    </row>
    <row r="440" spans="2:11">
      <c r="B440" s="4"/>
      <c r="C440" s="191" t="s">
        <v>23</v>
      </c>
      <c r="D440" s="191"/>
      <c r="E440" s="191"/>
      <c r="F440" s="191"/>
      <c r="G440" s="191"/>
      <c r="H440" s="192"/>
      <c r="I440" s="11">
        <f>SUM(H441:H526)</f>
        <v>1603.0089280000002</v>
      </c>
      <c r="J440" s="18" t="s">
        <v>24</v>
      </c>
      <c r="K440" s="19"/>
    </row>
    <row r="441" spans="2:11">
      <c r="B441" s="4"/>
      <c r="C441" s="6"/>
      <c r="D441" s="7"/>
      <c r="E441" s="8"/>
      <c r="F441" s="8" t="s">
        <v>131</v>
      </c>
      <c r="H441" s="9"/>
      <c r="I441" s="10"/>
      <c r="J441" s="18"/>
      <c r="K441" s="19"/>
    </row>
    <row r="442" spans="2:11">
      <c r="B442" s="4"/>
      <c r="C442" s="30" t="s">
        <v>125</v>
      </c>
      <c r="D442" s="7">
        <v>1</v>
      </c>
      <c r="E442" s="8">
        <v>4</v>
      </c>
      <c r="F442" s="8">
        <v>1.552</v>
      </c>
      <c r="G442" s="8">
        <f>+G395+0.15+0.15+0.6</f>
        <v>5.4</v>
      </c>
      <c r="H442" s="9">
        <f t="shared" ref="H442:H463" si="49">PRODUCT(D442:G442)</f>
        <v>33.523200000000003</v>
      </c>
      <c r="I442" s="36" t="s">
        <v>25</v>
      </c>
      <c r="J442" s="18" t="s">
        <v>463</v>
      </c>
      <c r="K442" s="19" t="s">
        <v>129</v>
      </c>
    </row>
    <row r="443" spans="2:11">
      <c r="B443" s="4"/>
      <c r="C443" s="30"/>
      <c r="D443" s="7">
        <v>1</v>
      </c>
      <c r="E443" s="8">
        <f>ROUND(14+((4.15-1.4)/0.2),0)+3</f>
        <v>31</v>
      </c>
      <c r="F443" s="8">
        <v>0.56000000000000005</v>
      </c>
      <c r="G443" s="8">
        <f>0.76+0.105*2</f>
        <v>0.97</v>
      </c>
      <c r="H443" s="9">
        <f t="shared" si="49"/>
        <v>16.839200000000002</v>
      </c>
      <c r="I443" s="36" t="s">
        <v>26</v>
      </c>
      <c r="J443" s="18"/>
      <c r="K443" s="19" t="s">
        <v>130</v>
      </c>
    </row>
    <row r="444" spans="2:11">
      <c r="B444" s="4"/>
      <c r="C444" s="30" t="s">
        <v>125</v>
      </c>
      <c r="D444" s="7">
        <v>1</v>
      </c>
      <c r="E444" s="8">
        <v>4</v>
      </c>
      <c r="F444" s="8">
        <v>1.552</v>
      </c>
      <c r="G444" s="8">
        <f>+G396+0.15+0.15+0.6</f>
        <v>5.7000000000000011</v>
      </c>
      <c r="H444" s="9">
        <f t="shared" si="49"/>
        <v>35.385600000000011</v>
      </c>
      <c r="I444" s="36" t="s">
        <v>25</v>
      </c>
      <c r="J444" s="18" t="s">
        <v>464</v>
      </c>
      <c r="K444" s="19" t="s">
        <v>129</v>
      </c>
    </row>
    <row r="445" spans="2:11">
      <c r="B445" s="4"/>
      <c r="C445" s="30"/>
      <c r="D445" s="7">
        <v>1</v>
      </c>
      <c r="E445" s="8">
        <f>ROUND(14+((4.15-1.4)/0.2),0)+5</f>
        <v>33</v>
      </c>
      <c r="F445" s="8">
        <v>0.56000000000000005</v>
      </c>
      <c r="G445" s="8">
        <f>0.76+0.105*2</f>
        <v>0.97</v>
      </c>
      <c r="H445" s="9">
        <f t="shared" si="49"/>
        <v>17.925599999999999</v>
      </c>
      <c r="I445" s="36" t="s">
        <v>26</v>
      </c>
      <c r="J445" s="18"/>
      <c r="K445" s="19" t="s">
        <v>130</v>
      </c>
    </row>
    <row r="446" spans="2:11">
      <c r="B446" s="4"/>
      <c r="C446" s="30" t="s">
        <v>125</v>
      </c>
      <c r="D446" s="7">
        <v>1</v>
      </c>
      <c r="E446" s="8">
        <v>4</v>
      </c>
      <c r="F446" s="8">
        <v>1.552</v>
      </c>
      <c r="G446" s="8">
        <f>+G397+0.15+0.15+0.6</f>
        <v>5.7000000000000011</v>
      </c>
      <c r="H446" s="9">
        <f t="shared" si="49"/>
        <v>35.385600000000011</v>
      </c>
      <c r="I446" s="36" t="s">
        <v>25</v>
      </c>
      <c r="J446" s="120" t="s">
        <v>465</v>
      </c>
      <c r="K446" s="19" t="s">
        <v>129</v>
      </c>
    </row>
    <row r="447" spans="2:11">
      <c r="B447" s="4"/>
      <c r="C447" s="30"/>
      <c r="D447" s="7">
        <v>1</v>
      </c>
      <c r="E447" s="8">
        <f>ROUND(14+((4.15-1.4)/0.2),0)+5</f>
        <v>33</v>
      </c>
      <c r="F447" s="8">
        <v>0.56000000000000005</v>
      </c>
      <c r="G447" s="8">
        <f>0.76+0.105*2</f>
        <v>0.97</v>
      </c>
      <c r="H447" s="9">
        <f t="shared" si="49"/>
        <v>17.925599999999999</v>
      </c>
      <c r="I447" s="36" t="s">
        <v>26</v>
      </c>
      <c r="J447" s="18"/>
      <c r="K447" s="19" t="s">
        <v>130</v>
      </c>
    </row>
    <row r="448" spans="2:11">
      <c r="B448" s="4"/>
      <c r="C448" s="30" t="s">
        <v>125</v>
      </c>
      <c r="D448" s="7">
        <v>1</v>
      </c>
      <c r="E448" s="8">
        <v>4</v>
      </c>
      <c r="F448" s="8">
        <v>1.552</v>
      </c>
      <c r="G448" s="8">
        <f>+G398+0.15+0.15+0.6</f>
        <v>4.8</v>
      </c>
      <c r="H448" s="9">
        <f t="shared" si="49"/>
        <v>29.798400000000001</v>
      </c>
      <c r="I448" s="36" t="s">
        <v>25</v>
      </c>
      <c r="J448" s="18" t="s">
        <v>466</v>
      </c>
      <c r="K448" s="19" t="s">
        <v>129</v>
      </c>
    </row>
    <row r="449" spans="2:11">
      <c r="B449" s="4"/>
      <c r="C449" s="30"/>
      <c r="D449" s="7">
        <v>1</v>
      </c>
      <c r="E449" s="8">
        <f>ROUND(14+((3.55-1.4)/0.2),0)+3</f>
        <v>28</v>
      </c>
      <c r="F449" s="8">
        <v>0.56000000000000005</v>
      </c>
      <c r="G449" s="8">
        <f>0.76+0.105*2</f>
        <v>0.97</v>
      </c>
      <c r="H449" s="9">
        <f t="shared" si="49"/>
        <v>15.209600000000002</v>
      </c>
      <c r="I449" s="36" t="s">
        <v>26</v>
      </c>
      <c r="J449" s="18"/>
      <c r="K449" s="19" t="s">
        <v>130</v>
      </c>
    </row>
    <row r="450" spans="2:11">
      <c r="B450" s="4"/>
      <c r="C450" s="30" t="s">
        <v>125</v>
      </c>
      <c r="D450" s="7">
        <v>1</v>
      </c>
      <c r="E450" s="8">
        <v>4</v>
      </c>
      <c r="F450" s="8">
        <v>1.552</v>
      </c>
      <c r="G450" s="8">
        <f>+G399+0.15+0.15+0.6</f>
        <v>6.15</v>
      </c>
      <c r="H450" s="9">
        <f t="shared" si="49"/>
        <v>38.179200000000002</v>
      </c>
      <c r="I450" s="36" t="s">
        <v>25</v>
      </c>
      <c r="J450" s="18" t="s">
        <v>467</v>
      </c>
      <c r="K450" s="19" t="s">
        <v>129</v>
      </c>
    </row>
    <row r="451" spans="2:11">
      <c r="B451" s="4"/>
      <c r="C451" s="30"/>
      <c r="D451" s="7">
        <v>1</v>
      </c>
      <c r="E451" s="8">
        <f>ROUND(14+((4.75-1.4)/0.2),0)+3</f>
        <v>34</v>
      </c>
      <c r="F451" s="8">
        <v>0.56000000000000005</v>
      </c>
      <c r="G451" s="8">
        <f>0.76+0.105*2</f>
        <v>0.97</v>
      </c>
      <c r="H451" s="9">
        <f t="shared" si="49"/>
        <v>18.468800000000002</v>
      </c>
      <c r="I451" s="36" t="s">
        <v>26</v>
      </c>
      <c r="J451" s="18"/>
      <c r="K451" s="19" t="s">
        <v>130</v>
      </c>
    </row>
    <row r="452" spans="2:11">
      <c r="B452" s="4"/>
      <c r="C452" s="30" t="s">
        <v>125</v>
      </c>
      <c r="D452" s="7">
        <v>1</v>
      </c>
      <c r="E452" s="8">
        <v>4</v>
      </c>
      <c r="F452" s="8">
        <v>1.552</v>
      </c>
      <c r="G452" s="8">
        <f>+G400+0.15+0.15+0.6</f>
        <v>6.4500000000000011</v>
      </c>
      <c r="H452" s="9">
        <f t="shared" si="49"/>
        <v>40.04160000000001</v>
      </c>
      <c r="I452" s="36" t="s">
        <v>25</v>
      </c>
      <c r="J452" s="18" t="s">
        <v>74</v>
      </c>
      <c r="K452" s="19" t="s">
        <v>129</v>
      </c>
    </row>
    <row r="453" spans="2:11">
      <c r="B453" s="4"/>
      <c r="C453" s="30"/>
      <c r="D453" s="7">
        <v>1</v>
      </c>
      <c r="E453" s="8">
        <f>ROUND(14+((4.75-1.4)/0.2),0)+5</f>
        <v>36</v>
      </c>
      <c r="F453" s="8">
        <v>0.56000000000000005</v>
      </c>
      <c r="G453" s="8">
        <f>0.76+0.105*2</f>
        <v>0.97</v>
      </c>
      <c r="H453" s="9">
        <f t="shared" si="49"/>
        <v>19.555200000000003</v>
      </c>
      <c r="I453" s="36" t="s">
        <v>26</v>
      </c>
      <c r="J453" s="18"/>
      <c r="K453" s="19" t="s">
        <v>130</v>
      </c>
    </row>
    <row r="454" spans="2:11">
      <c r="B454" s="4"/>
      <c r="C454" s="30" t="s">
        <v>125</v>
      </c>
      <c r="D454" s="7">
        <v>1</v>
      </c>
      <c r="E454" s="8">
        <v>4</v>
      </c>
      <c r="F454" s="8">
        <v>1.552</v>
      </c>
      <c r="G454" s="8">
        <f>+G401+0.15+0.15+0.6</f>
        <v>6.4500000000000011</v>
      </c>
      <c r="H454" s="9">
        <f t="shared" si="49"/>
        <v>40.04160000000001</v>
      </c>
      <c r="I454" s="36" t="s">
        <v>25</v>
      </c>
      <c r="J454" s="120" t="s">
        <v>468</v>
      </c>
      <c r="K454" s="19" t="s">
        <v>129</v>
      </c>
    </row>
    <row r="455" spans="2:11">
      <c r="B455" s="4"/>
      <c r="C455" s="30"/>
      <c r="D455" s="7">
        <v>1</v>
      </c>
      <c r="E455" s="8">
        <f>ROUND(14+((4.75-1.4)/0.2),0)+5</f>
        <v>36</v>
      </c>
      <c r="F455" s="8">
        <v>0.56000000000000005</v>
      </c>
      <c r="G455" s="8">
        <f>0.76+0.105*2</f>
        <v>0.97</v>
      </c>
      <c r="H455" s="9">
        <f t="shared" si="49"/>
        <v>19.555200000000003</v>
      </c>
      <c r="I455" s="36" t="s">
        <v>26</v>
      </c>
      <c r="J455" s="18"/>
      <c r="K455" s="19" t="s">
        <v>130</v>
      </c>
    </row>
    <row r="456" spans="2:11">
      <c r="B456" s="4"/>
      <c r="C456" s="30" t="s">
        <v>125</v>
      </c>
      <c r="D456" s="7">
        <v>1</v>
      </c>
      <c r="E456" s="8">
        <v>4</v>
      </c>
      <c r="F456" s="8">
        <v>1.552</v>
      </c>
      <c r="G456" s="8">
        <f>+G402+0.15+0.15+0.6</f>
        <v>5.5500000000000007</v>
      </c>
      <c r="H456" s="9">
        <f t="shared" si="49"/>
        <v>34.454400000000007</v>
      </c>
      <c r="I456" s="36" t="s">
        <v>25</v>
      </c>
      <c r="J456" s="18" t="s">
        <v>127</v>
      </c>
      <c r="K456" s="19" t="s">
        <v>129</v>
      </c>
    </row>
    <row r="457" spans="2:11">
      <c r="B457" s="4"/>
      <c r="C457" s="30"/>
      <c r="D457" s="7">
        <v>1</v>
      </c>
      <c r="E457" s="8">
        <f>ROUND(14+((4.15-1.4)/0.2),0)+3</f>
        <v>31</v>
      </c>
      <c r="F457" s="8">
        <v>0.56000000000000005</v>
      </c>
      <c r="G457" s="8">
        <f>0.76+0.105*2</f>
        <v>0.97</v>
      </c>
      <c r="H457" s="9">
        <f t="shared" si="49"/>
        <v>16.839200000000002</v>
      </c>
      <c r="I457" s="36" t="s">
        <v>26</v>
      </c>
      <c r="J457" s="18"/>
      <c r="K457" s="19" t="s">
        <v>130</v>
      </c>
    </row>
    <row r="458" spans="2:11">
      <c r="B458" s="4"/>
      <c r="C458" s="30" t="s">
        <v>125</v>
      </c>
      <c r="D458" s="7">
        <v>1</v>
      </c>
      <c r="E458" s="8">
        <v>4</v>
      </c>
      <c r="F458" s="8">
        <v>1.552</v>
      </c>
      <c r="G458" s="8">
        <f>+G403+0.15+0.15+0.6</f>
        <v>5.5600000000000005</v>
      </c>
      <c r="H458" s="9">
        <f t="shared" si="49"/>
        <v>34.516480000000001</v>
      </c>
      <c r="I458" s="36" t="s">
        <v>25</v>
      </c>
      <c r="J458" s="18" t="s">
        <v>469</v>
      </c>
      <c r="K458" s="19" t="s">
        <v>129</v>
      </c>
    </row>
    <row r="459" spans="2:11">
      <c r="B459" s="4"/>
      <c r="C459" s="30"/>
      <c r="D459" s="7">
        <v>1</v>
      </c>
      <c r="E459" s="8">
        <f>ROUND(14+((4.16-1.4)/0.2),0)+3</f>
        <v>31</v>
      </c>
      <c r="F459" s="8">
        <v>0.56000000000000005</v>
      </c>
      <c r="G459" s="8">
        <f>0.76+0.105*2</f>
        <v>0.97</v>
      </c>
      <c r="H459" s="9">
        <f t="shared" si="49"/>
        <v>16.839200000000002</v>
      </c>
      <c r="I459" s="36" t="s">
        <v>26</v>
      </c>
      <c r="J459" s="18"/>
      <c r="K459" s="19" t="s">
        <v>130</v>
      </c>
    </row>
    <row r="460" spans="2:11">
      <c r="B460" s="4"/>
      <c r="C460" s="30" t="s">
        <v>125</v>
      </c>
      <c r="D460" s="7">
        <v>1</v>
      </c>
      <c r="E460" s="8">
        <v>4</v>
      </c>
      <c r="F460" s="8">
        <v>1.552</v>
      </c>
      <c r="G460" s="8">
        <f>+G404+0.15+0.15+0.6</f>
        <v>5.5600000000000005</v>
      </c>
      <c r="H460" s="9">
        <f t="shared" si="49"/>
        <v>34.516480000000001</v>
      </c>
      <c r="I460" s="36" t="s">
        <v>25</v>
      </c>
      <c r="J460" s="18" t="s">
        <v>73</v>
      </c>
      <c r="K460" s="19" t="s">
        <v>129</v>
      </c>
    </row>
    <row r="461" spans="2:11">
      <c r="B461" s="4"/>
      <c r="C461" s="30"/>
      <c r="D461" s="7">
        <v>1</v>
      </c>
      <c r="E461" s="8">
        <f>ROUND(14+((4.16-1.4)/0.2),0)+3</f>
        <v>31</v>
      </c>
      <c r="F461" s="8">
        <v>0.56000000000000005</v>
      </c>
      <c r="G461" s="8">
        <f>0.76+0.105*2</f>
        <v>0.97</v>
      </c>
      <c r="H461" s="9">
        <f t="shared" si="49"/>
        <v>16.839200000000002</v>
      </c>
      <c r="I461" s="36" t="s">
        <v>26</v>
      </c>
      <c r="J461" s="18"/>
      <c r="K461" s="19" t="s">
        <v>130</v>
      </c>
    </row>
    <row r="462" spans="2:11">
      <c r="B462" s="4"/>
      <c r="C462" s="30" t="s">
        <v>125</v>
      </c>
      <c r="D462" s="7">
        <v>1</v>
      </c>
      <c r="E462" s="8">
        <v>4</v>
      </c>
      <c r="F462" s="8">
        <v>1.552</v>
      </c>
      <c r="G462" s="8">
        <f>+G405+0.15+0.15+0.6</f>
        <v>5.5600000000000005</v>
      </c>
      <c r="H462" s="9">
        <f t="shared" si="49"/>
        <v>34.516480000000001</v>
      </c>
      <c r="I462" s="36" t="s">
        <v>25</v>
      </c>
      <c r="J462" s="18" t="s">
        <v>470</v>
      </c>
      <c r="K462" s="19" t="s">
        <v>129</v>
      </c>
    </row>
    <row r="463" spans="2:11">
      <c r="B463" s="4"/>
      <c r="C463" s="30"/>
      <c r="D463" s="7">
        <v>1</v>
      </c>
      <c r="E463" s="8">
        <f>ROUND(14+((4.16-1.4)/0.2),0)+3</f>
        <v>31</v>
      </c>
      <c r="F463" s="8">
        <v>0.56000000000000005</v>
      </c>
      <c r="G463" s="8">
        <f>0.76+0.105*2</f>
        <v>0.97</v>
      </c>
      <c r="H463" s="9">
        <f t="shared" si="49"/>
        <v>16.839200000000002</v>
      </c>
      <c r="I463" s="36" t="s">
        <v>26</v>
      </c>
      <c r="J463" s="18"/>
      <c r="K463" s="19" t="s">
        <v>130</v>
      </c>
    </row>
    <row r="464" spans="2:11">
      <c r="B464" s="4"/>
      <c r="C464" s="30" t="s">
        <v>125</v>
      </c>
      <c r="D464" s="7">
        <v>1</v>
      </c>
      <c r="E464" s="8">
        <v>4</v>
      </c>
      <c r="F464" s="8">
        <v>1.552</v>
      </c>
      <c r="G464" s="8">
        <f>+G406+0.15+0.15+0.6</f>
        <v>5.5500000000000007</v>
      </c>
      <c r="H464" s="9">
        <f>PRODUCT(D464:G464)</f>
        <v>34.454400000000007</v>
      </c>
      <c r="I464" s="36" t="s">
        <v>25</v>
      </c>
      <c r="J464" s="18" t="s">
        <v>70</v>
      </c>
      <c r="K464" s="19" t="s">
        <v>129</v>
      </c>
    </row>
    <row r="465" spans="2:11">
      <c r="B465" s="4"/>
      <c r="C465" s="30"/>
      <c r="D465" s="7">
        <v>1</v>
      </c>
      <c r="E465" s="8">
        <f>ROUND(14+((4.15-1.4)/0.2),0)+3</f>
        <v>31</v>
      </c>
      <c r="F465" s="8">
        <v>0.56000000000000005</v>
      </c>
      <c r="G465" s="8">
        <f>0.76+0.105*2</f>
        <v>0.97</v>
      </c>
      <c r="H465" s="9">
        <f t="shared" ref="H465:H479" si="50">PRODUCT(D465:G465)</f>
        <v>16.839200000000002</v>
      </c>
      <c r="I465" s="36" t="s">
        <v>26</v>
      </c>
      <c r="J465" s="18"/>
      <c r="K465" s="19" t="s">
        <v>130</v>
      </c>
    </row>
    <row r="466" spans="2:11">
      <c r="B466" s="4"/>
      <c r="C466" s="30" t="s">
        <v>125</v>
      </c>
      <c r="D466" s="7">
        <v>1</v>
      </c>
      <c r="E466" s="8">
        <v>4</v>
      </c>
      <c r="F466" s="8">
        <v>1.552</v>
      </c>
      <c r="G466" s="8">
        <f>+G407+0.15+0.15+0.6</f>
        <v>5.5500000000000007</v>
      </c>
      <c r="H466" s="9">
        <f t="shared" si="50"/>
        <v>34.454400000000007</v>
      </c>
      <c r="I466" s="36" t="s">
        <v>25</v>
      </c>
      <c r="J466" s="18" t="s">
        <v>71</v>
      </c>
      <c r="K466" s="19" t="s">
        <v>129</v>
      </c>
    </row>
    <row r="467" spans="2:11">
      <c r="B467" s="4"/>
      <c r="C467" s="30"/>
      <c r="D467" s="7">
        <v>1</v>
      </c>
      <c r="E467" s="8">
        <f>ROUND(14+((4.15-1.4)/0.2),0)+3</f>
        <v>31</v>
      </c>
      <c r="F467" s="8">
        <v>0.56000000000000005</v>
      </c>
      <c r="G467" s="8">
        <f>0.76+0.105*2</f>
        <v>0.97</v>
      </c>
      <c r="H467" s="9">
        <f t="shared" si="50"/>
        <v>16.839200000000002</v>
      </c>
      <c r="I467" s="36" t="s">
        <v>26</v>
      </c>
      <c r="J467" s="18"/>
      <c r="K467" s="19" t="s">
        <v>130</v>
      </c>
    </row>
    <row r="468" spans="2:11">
      <c r="B468" s="4"/>
      <c r="C468" s="30" t="s">
        <v>125</v>
      </c>
      <c r="D468" s="7">
        <v>1</v>
      </c>
      <c r="E468" s="8">
        <v>4</v>
      </c>
      <c r="F468" s="8">
        <v>1.552</v>
      </c>
      <c r="G468" s="8">
        <f>+G408+0.15+0.15+0.6</f>
        <v>5.5600000000000005</v>
      </c>
      <c r="H468" s="9">
        <f t="shared" si="50"/>
        <v>34.516480000000001</v>
      </c>
      <c r="I468" s="36" t="s">
        <v>25</v>
      </c>
      <c r="J468" s="18" t="s">
        <v>72</v>
      </c>
      <c r="K468" s="19" t="s">
        <v>129</v>
      </c>
    </row>
    <row r="469" spans="2:11">
      <c r="B469" s="4"/>
      <c r="C469" s="30"/>
      <c r="D469" s="7">
        <v>1</v>
      </c>
      <c r="E469" s="8">
        <f>ROUND(14+((4.16-1.4)/0.2),0)+3</f>
        <v>31</v>
      </c>
      <c r="F469" s="8">
        <v>0.56000000000000005</v>
      </c>
      <c r="G469" s="8">
        <f>0.76+0.105*2</f>
        <v>0.97</v>
      </c>
      <c r="H469" s="9">
        <f t="shared" si="50"/>
        <v>16.839200000000002</v>
      </c>
      <c r="I469" s="36" t="s">
        <v>26</v>
      </c>
      <c r="J469" s="18"/>
      <c r="K469" s="19" t="s">
        <v>130</v>
      </c>
    </row>
    <row r="470" spans="2:11">
      <c r="B470" s="4"/>
      <c r="C470" s="30" t="s">
        <v>125</v>
      </c>
      <c r="D470" s="7">
        <v>1</v>
      </c>
      <c r="E470" s="8">
        <v>4</v>
      </c>
      <c r="F470" s="8">
        <v>1.552</v>
      </c>
      <c r="G470" s="8">
        <f>+G409+0.15+0.15+0.6</f>
        <v>5.25</v>
      </c>
      <c r="H470" s="9">
        <f t="shared" si="50"/>
        <v>32.591999999999999</v>
      </c>
      <c r="I470" s="36" t="s">
        <v>25</v>
      </c>
      <c r="J470" s="18" t="s">
        <v>471</v>
      </c>
      <c r="K470" s="19" t="s">
        <v>129</v>
      </c>
    </row>
    <row r="471" spans="2:11">
      <c r="B471" s="4"/>
      <c r="C471" s="30"/>
      <c r="D471" s="7">
        <v>1</v>
      </c>
      <c r="E471" s="8">
        <f>ROUND(14+((3.85-1.4)/0.2),0)+3</f>
        <v>29</v>
      </c>
      <c r="F471" s="8">
        <v>0.56000000000000005</v>
      </c>
      <c r="G471" s="8">
        <f>0.76+0.105*2</f>
        <v>0.97</v>
      </c>
      <c r="H471" s="9">
        <f t="shared" si="50"/>
        <v>15.752800000000002</v>
      </c>
      <c r="I471" s="36" t="s">
        <v>26</v>
      </c>
      <c r="J471" s="18"/>
      <c r="K471" s="19" t="s">
        <v>130</v>
      </c>
    </row>
    <row r="472" spans="2:11">
      <c r="B472" s="4"/>
      <c r="C472" s="30" t="s">
        <v>125</v>
      </c>
      <c r="D472" s="7">
        <v>1</v>
      </c>
      <c r="E472" s="8">
        <v>4</v>
      </c>
      <c r="F472" s="8">
        <v>1.552</v>
      </c>
      <c r="G472" s="8">
        <f>+G410+0.15+0.15+0.6</f>
        <v>5.25</v>
      </c>
      <c r="H472" s="9">
        <f t="shared" si="50"/>
        <v>32.591999999999999</v>
      </c>
      <c r="I472" s="36" t="s">
        <v>25</v>
      </c>
      <c r="J472" s="18" t="s">
        <v>66</v>
      </c>
      <c r="K472" s="19" t="s">
        <v>129</v>
      </c>
    </row>
    <row r="473" spans="2:11">
      <c r="B473" s="4"/>
      <c r="C473" s="30"/>
      <c r="D473" s="7">
        <v>1</v>
      </c>
      <c r="E473" s="8">
        <f>ROUND(14+((3.85-1.4)/0.2),0)+3</f>
        <v>29</v>
      </c>
      <c r="F473" s="8">
        <v>0.56000000000000005</v>
      </c>
      <c r="G473" s="8">
        <f>0.76+0.105*2</f>
        <v>0.97</v>
      </c>
      <c r="H473" s="9">
        <f t="shared" si="50"/>
        <v>15.752800000000002</v>
      </c>
      <c r="I473" s="36" t="s">
        <v>26</v>
      </c>
      <c r="J473" s="18"/>
      <c r="K473" s="19" t="s">
        <v>130</v>
      </c>
    </row>
    <row r="474" spans="2:11">
      <c r="B474" s="4"/>
      <c r="C474" s="30" t="s">
        <v>125</v>
      </c>
      <c r="D474" s="7">
        <v>1</v>
      </c>
      <c r="E474" s="8">
        <v>4</v>
      </c>
      <c r="F474" s="8">
        <v>1.552</v>
      </c>
      <c r="G474" s="8">
        <f>+G411+0.15+0.15+0.6</f>
        <v>5.25</v>
      </c>
      <c r="H474" s="9">
        <f t="shared" si="50"/>
        <v>32.591999999999999</v>
      </c>
      <c r="I474" s="36" t="s">
        <v>25</v>
      </c>
      <c r="J474" s="18" t="s">
        <v>67</v>
      </c>
      <c r="K474" s="19" t="s">
        <v>129</v>
      </c>
    </row>
    <row r="475" spans="2:11">
      <c r="B475" s="4"/>
      <c r="C475" s="35"/>
      <c r="D475" s="7">
        <v>1</v>
      </c>
      <c r="E475" s="8">
        <f>ROUND(14+((3.85-1.4)/0.2),0)+3</f>
        <v>29</v>
      </c>
      <c r="F475" s="8">
        <v>0.56000000000000005</v>
      </c>
      <c r="G475" s="8">
        <f>0.76+0.105*2</f>
        <v>0.97</v>
      </c>
      <c r="H475" s="9">
        <f t="shared" si="50"/>
        <v>15.752800000000002</v>
      </c>
      <c r="I475" s="36" t="s">
        <v>26</v>
      </c>
      <c r="J475" s="18"/>
      <c r="K475" s="19" t="s">
        <v>130</v>
      </c>
    </row>
    <row r="476" spans="2:11">
      <c r="B476" s="4"/>
      <c r="C476" s="30" t="s">
        <v>125</v>
      </c>
      <c r="D476" s="7">
        <v>1</v>
      </c>
      <c r="E476" s="8">
        <v>4</v>
      </c>
      <c r="F476" s="8">
        <v>1.552</v>
      </c>
      <c r="G476" s="8">
        <f>+G412+0.15+0.15+0.6</f>
        <v>5.25</v>
      </c>
      <c r="H476" s="9">
        <f t="shared" si="50"/>
        <v>32.591999999999999</v>
      </c>
      <c r="I476" s="36" t="s">
        <v>25</v>
      </c>
      <c r="J476" s="18" t="s">
        <v>472</v>
      </c>
      <c r="K476" s="19" t="s">
        <v>129</v>
      </c>
    </row>
    <row r="477" spans="2:11">
      <c r="B477" s="4"/>
      <c r="C477" s="30"/>
      <c r="D477" s="7">
        <v>1</v>
      </c>
      <c r="E477" s="8">
        <f>ROUND(14+((3.85-1.4)/0.2),0)+3</f>
        <v>29</v>
      </c>
      <c r="F477" s="8">
        <v>0.56000000000000005</v>
      </c>
      <c r="G477" s="8">
        <f>0.76+0.105*2</f>
        <v>0.97</v>
      </c>
      <c r="H477" s="9">
        <f t="shared" si="50"/>
        <v>15.752800000000002</v>
      </c>
      <c r="I477" s="36" t="s">
        <v>26</v>
      </c>
      <c r="J477" s="18"/>
      <c r="K477" s="19" t="s">
        <v>130</v>
      </c>
    </row>
    <row r="478" spans="2:11">
      <c r="B478" s="4"/>
      <c r="C478" s="30" t="s">
        <v>125</v>
      </c>
      <c r="D478" s="7">
        <v>1</v>
      </c>
      <c r="E478" s="8">
        <v>4</v>
      </c>
      <c r="F478" s="8">
        <v>1.552</v>
      </c>
      <c r="G478" s="8">
        <f>+G413+0.15+0.15+0.6</f>
        <v>5.25</v>
      </c>
      <c r="H478" s="9">
        <f t="shared" si="50"/>
        <v>32.591999999999999</v>
      </c>
      <c r="I478" s="36" t="s">
        <v>25</v>
      </c>
      <c r="J478" s="18" t="s">
        <v>68</v>
      </c>
      <c r="K478" s="19" t="s">
        <v>129</v>
      </c>
    </row>
    <row r="479" spans="2:11">
      <c r="B479" s="4"/>
      <c r="C479" s="30"/>
      <c r="D479" s="7">
        <v>1</v>
      </c>
      <c r="E479" s="8">
        <f>ROUND(14+((3.85-1.4)/0.2),0)+3</f>
        <v>29</v>
      </c>
      <c r="F479" s="8">
        <v>0.56000000000000005</v>
      </c>
      <c r="G479" s="8">
        <f>0.76+0.105*2</f>
        <v>0.97</v>
      </c>
      <c r="H479" s="9">
        <f t="shared" si="50"/>
        <v>15.752800000000002</v>
      </c>
      <c r="I479" s="36" t="s">
        <v>26</v>
      </c>
      <c r="J479" s="18"/>
      <c r="K479" s="19" t="s">
        <v>130</v>
      </c>
    </row>
    <row r="480" spans="2:11">
      <c r="B480" s="4"/>
      <c r="C480" s="30"/>
      <c r="D480" s="7"/>
      <c r="E480" s="8"/>
      <c r="F480" s="8"/>
      <c r="G480" s="8"/>
      <c r="H480" s="9"/>
      <c r="I480" s="36"/>
      <c r="J480" s="18"/>
      <c r="K480" s="19"/>
    </row>
    <row r="481" spans="2:11">
      <c r="B481" s="4"/>
      <c r="C481" s="35"/>
      <c r="D481" s="7"/>
      <c r="E481" s="8"/>
      <c r="F481" s="8"/>
      <c r="G481" s="8"/>
      <c r="H481" s="9"/>
      <c r="I481" s="36"/>
      <c r="J481" s="18"/>
      <c r="K481" s="19"/>
    </row>
    <row r="482" spans="2:11">
      <c r="B482" s="4"/>
      <c r="C482" s="35"/>
      <c r="D482" s="7"/>
      <c r="E482" s="8"/>
      <c r="F482" s="8"/>
      <c r="G482" s="8"/>
      <c r="H482" s="9"/>
      <c r="I482" s="10"/>
      <c r="J482" s="18"/>
      <c r="K482" s="19"/>
    </row>
    <row r="483" spans="2:11">
      <c r="B483" s="4"/>
      <c r="C483" s="30" t="s">
        <v>126</v>
      </c>
      <c r="D483" s="7">
        <v>1</v>
      </c>
      <c r="E483" s="8">
        <v>6</v>
      </c>
      <c r="F483" s="8">
        <v>1.552</v>
      </c>
      <c r="G483" s="8">
        <f>+G415+0.15+0.15+0.6</f>
        <v>5.4</v>
      </c>
      <c r="H483" s="9">
        <f>PRODUCT(D483:G483)</f>
        <v>50.284800000000011</v>
      </c>
      <c r="I483" s="36" t="s">
        <v>25</v>
      </c>
      <c r="J483" s="18" t="s">
        <v>473</v>
      </c>
      <c r="K483" s="19" t="s">
        <v>129</v>
      </c>
    </row>
    <row r="484" spans="2:11">
      <c r="B484" s="4"/>
      <c r="C484" s="30"/>
      <c r="D484" s="7">
        <v>1</v>
      </c>
      <c r="E484" s="8">
        <f>ROUND(14+((4.15-1.4)/0.2),0)+3</f>
        <v>31</v>
      </c>
      <c r="F484" s="8">
        <v>0.56000000000000005</v>
      </c>
      <c r="G484" s="8">
        <f>1.06+0.105*2</f>
        <v>1.27</v>
      </c>
      <c r="H484" s="9">
        <f>PRODUCT(D484:G484)</f>
        <v>22.047200000000004</v>
      </c>
      <c r="I484" s="36" t="s">
        <v>26</v>
      </c>
      <c r="J484" s="18"/>
      <c r="K484" s="19" t="s">
        <v>130</v>
      </c>
    </row>
    <row r="485" spans="2:11">
      <c r="B485" s="4"/>
      <c r="C485" s="30" t="s">
        <v>126</v>
      </c>
      <c r="D485" s="7">
        <v>1</v>
      </c>
      <c r="E485" s="8">
        <v>6</v>
      </c>
      <c r="F485" s="8">
        <v>1.552</v>
      </c>
      <c r="G485" s="8">
        <f>+G416+0.15+0.15+0.6</f>
        <v>6.15</v>
      </c>
      <c r="H485" s="9">
        <f>PRODUCT(D485:G485)</f>
        <v>57.268800000000013</v>
      </c>
      <c r="I485" s="36" t="s">
        <v>25</v>
      </c>
      <c r="J485" s="18" t="s">
        <v>474</v>
      </c>
      <c r="K485" s="19" t="s">
        <v>129</v>
      </c>
    </row>
    <row r="486" spans="2:11">
      <c r="B486" s="4"/>
      <c r="C486" s="30"/>
      <c r="D486" s="7">
        <v>1</v>
      </c>
      <c r="E486" s="8">
        <f>ROUND(14+((4.75-1.4)/0.2),0)+3</f>
        <v>34</v>
      </c>
      <c r="F486" s="8">
        <v>0.56000000000000005</v>
      </c>
      <c r="G486" s="8">
        <f>1.06+0.105*2</f>
        <v>1.27</v>
      </c>
      <c r="H486" s="9">
        <f>PRODUCT(D486:G486)</f>
        <v>24.180800000000005</v>
      </c>
      <c r="I486" s="36" t="s">
        <v>26</v>
      </c>
      <c r="J486" s="18"/>
      <c r="K486" s="19" t="s">
        <v>130</v>
      </c>
    </row>
    <row r="487" spans="2:11">
      <c r="B487" s="4"/>
      <c r="C487" s="30"/>
      <c r="D487" s="7"/>
      <c r="E487" s="8"/>
      <c r="F487" s="8"/>
      <c r="G487" s="8"/>
      <c r="H487" s="9"/>
      <c r="I487" s="36"/>
      <c r="J487" s="18"/>
      <c r="K487" s="19"/>
    </row>
    <row r="488" spans="2:11">
      <c r="B488" s="4"/>
      <c r="C488" s="30"/>
      <c r="D488" s="7"/>
      <c r="E488" s="8"/>
      <c r="F488" s="8"/>
      <c r="G488" s="8"/>
      <c r="H488" s="9"/>
      <c r="I488" s="36"/>
      <c r="J488" s="18"/>
      <c r="K488" s="19"/>
    </row>
    <row r="489" spans="2:11">
      <c r="B489" s="4"/>
      <c r="C489" s="30" t="s">
        <v>475</v>
      </c>
      <c r="D489" s="7">
        <v>1</v>
      </c>
      <c r="E489" s="8">
        <v>6</v>
      </c>
      <c r="F489" s="8">
        <v>1.552</v>
      </c>
      <c r="G489" s="8">
        <f>+G418+0.15+0.15+0.6</f>
        <v>5.8900000000000006</v>
      </c>
      <c r="H489" s="9">
        <f t="shared" ref="H489:H496" si="51">PRODUCT(D489:G489)</f>
        <v>54.847680000000011</v>
      </c>
      <c r="I489" s="36" t="s">
        <v>25</v>
      </c>
      <c r="J489" s="18" t="s">
        <v>476</v>
      </c>
      <c r="K489" s="19" t="s">
        <v>129</v>
      </c>
    </row>
    <row r="490" spans="2:11">
      <c r="B490" s="4"/>
      <c r="C490" s="30"/>
      <c r="D490" s="7">
        <v>1</v>
      </c>
      <c r="E490" s="8">
        <f>ROUND(14+((4.49-1.4)/0.2),0)+3</f>
        <v>32</v>
      </c>
      <c r="F490" s="8">
        <v>0.56000000000000005</v>
      </c>
      <c r="G490" s="8">
        <f>0.86+0.105*2</f>
        <v>1.07</v>
      </c>
      <c r="H490" s="9">
        <f t="shared" si="51"/>
        <v>19.174400000000002</v>
      </c>
      <c r="I490" s="36" t="s">
        <v>26</v>
      </c>
      <c r="J490" s="18"/>
      <c r="K490" s="19" t="s">
        <v>130</v>
      </c>
    </row>
    <row r="491" spans="2:11">
      <c r="B491" s="4"/>
      <c r="C491" s="30" t="s">
        <v>475</v>
      </c>
      <c r="D491" s="7">
        <v>1</v>
      </c>
      <c r="E491" s="8">
        <v>6</v>
      </c>
      <c r="F491" s="8">
        <v>1.552</v>
      </c>
      <c r="G491" s="8">
        <f>+G419+0.15+0.15+0.6</f>
        <v>6.1900000000000013</v>
      </c>
      <c r="H491" s="9">
        <f t="shared" si="51"/>
        <v>57.641280000000016</v>
      </c>
      <c r="I491" s="36" t="s">
        <v>25</v>
      </c>
      <c r="J491" s="18" t="s">
        <v>477</v>
      </c>
      <c r="K491" s="19" t="s">
        <v>129</v>
      </c>
    </row>
    <row r="492" spans="2:11">
      <c r="B492" s="4"/>
      <c r="C492" s="30"/>
      <c r="D492" s="7">
        <v>1</v>
      </c>
      <c r="E492" s="8">
        <f>ROUND(14+((4.49-1.4)/0.2),0)+5</f>
        <v>34</v>
      </c>
      <c r="F492" s="8">
        <v>0.56000000000000005</v>
      </c>
      <c r="G492" s="8">
        <f>0.86+0.105*2</f>
        <v>1.07</v>
      </c>
      <c r="H492" s="9">
        <f t="shared" si="51"/>
        <v>20.372800000000005</v>
      </c>
      <c r="I492" s="36" t="s">
        <v>26</v>
      </c>
      <c r="J492" s="18"/>
      <c r="K492" s="19" t="s">
        <v>130</v>
      </c>
    </row>
    <row r="493" spans="2:11">
      <c r="B493" s="4"/>
      <c r="C493" s="30" t="s">
        <v>475</v>
      </c>
      <c r="D493" s="7">
        <v>1</v>
      </c>
      <c r="E493" s="8">
        <v>6</v>
      </c>
      <c r="F493" s="8">
        <v>1.552</v>
      </c>
      <c r="G493" s="8">
        <f>+G420+0.15+0.15+0.6</f>
        <v>6.1900000000000013</v>
      </c>
      <c r="H493" s="9">
        <f t="shared" si="51"/>
        <v>57.641280000000016</v>
      </c>
      <c r="I493" s="36" t="s">
        <v>25</v>
      </c>
      <c r="J493" s="120" t="s">
        <v>478</v>
      </c>
      <c r="K493" s="19" t="s">
        <v>129</v>
      </c>
    </row>
    <row r="494" spans="2:11">
      <c r="B494" s="4"/>
      <c r="C494" s="30"/>
      <c r="D494" s="7">
        <v>1</v>
      </c>
      <c r="E494" s="8">
        <f>ROUND(14+((4.49-1.4)/0.2),0)+5</f>
        <v>34</v>
      </c>
      <c r="F494" s="8">
        <v>0.56000000000000005</v>
      </c>
      <c r="G494" s="8">
        <f>0.86+0.105*2</f>
        <v>1.07</v>
      </c>
      <c r="H494" s="9">
        <f t="shared" si="51"/>
        <v>20.372800000000005</v>
      </c>
      <c r="I494" s="36" t="s">
        <v>26</v>
      </c>
      <c r="J494" s="18"/>
      <c r="K494" s="19" t="s">
        <v>130</v>
      </c>
    </row>
    <row r="495" spans="2:11">
      <c r="B495" s="4"/>
      <c r="C495" s="30" t="s">
        <v>475</v>
      </c>
      <c r="D495" s="7">
        <v>1</v>
      </c>
      <c r="E495" s="8">
        <v>6</v>
      </c>
      <c r="F495" s="8">
        <v>1.552</v>
      </c>
      <c r="G495" s="8">
        <f>+G421+0.15+0.15+0.6</f>
        <v>5.3</v>
      </c>
      <c r="H495" s="9">
        <f t="shared" si="51"/>
        <v>49.353600000000007</v>
      </c>
      <c r="I495" s="36" t="s">
        <v>25</v>
      </c>
      <c r="J495" s="18" t="s">
        <v>128</v>
      </c>
      <c r="K495" s="19" t="s">
        <v>129</v>
      </c>
    </row>
    <row r="496" spans="2:11">
      <c r="B496" s="4"/>
      <c r="C496" s="30"/>
      <c r="D496" s="7">
        <v>1</v>
      </c>
      <c r="E496" s="8">
        <f>ROUND(14+((3.9-1.4)/0.2),0)+3</f>
        <v>30</v>
      </c>
      <c r="F496" s="8">
        <v>0.56000000000000005</v>
      </c>
      <c r="G496" s="8">
        <f>0.86+0.105*2</f>
        <v>1.07</v>
      </c>
      <c r="H496" s="9">
        <f t="shared" si="51"/>
        <v>17.976000000000003</v>
      </c>
      <c r="I496" s="36" t="s">
        <v>26</v>
      </c>
      <c r="J496" s="18"/>
      <c r="K496" s="19" t="s">
        <v>130</v>
      </c>
    </row>
    <row r="497" spans="2:11">
      <c r="B497" s="4"/>
      <c r="C497" s="30"/>
      <c r="D497" s="7"/>
      <c r="E497" s="8"/>
      <c r="F497" s="8"/>
      <c r="G497" s="8"/>
      <c r="H497" s="9"/>
      <c r="I497" s="36"/>
      <c r="J497" s="18"/>
      <c r="K497" s="19"/>
    </row>
    <row r="498" spans="2:11">
      <c r="B498" s="4"/>
      <c r="C498" s="30"/>
      <c r="D498" s="7"/>
      <c r="E498" s="8"/>
      <c r="F498" s="8"/>
      <c r="G498" s="8"/>
      <c r="H498" s="9"/>
      <c r="I498" s="36"/>
      <c r="J498" s="18"/>
      <c r="K498" s="19"/>
    </row>
    <row r="499" spans="2:11">
      <c r="B499" s="4"/>
      <c r="C499" s="30" t="s">
        <v>479</v>
      </c>
      <c r="D499" s="7">
        <v>1</v>
      </c>
      <c r="E499" s="8">
        <v>6</v>
      </c>
      <c r="F499" s="8">
        <v>0.56000000000000005</v>
      </c>
      <c r="G499" s="8">
        <f>+G423+0.15+0.15+0.6</f>
        <v>6.15</v>
      </c>
      <c r="H499" s="9">
        <f>PRODUCT(D499:G499)</f>
        <v>20.664000000000001</v>
      </c>
      <c r="I499" s="36" t="s">
        <v>26</v>
      </c>
      <c r="J499" s="18" t="s">
        <v>480</v>
      </c>
      <c r="K499" s="19" t="s">
        <v>130</v>
      </c>
    </row>
    <row r="500" spans="2:11">
      <c r="B500" s="4"/>
      <c r="C500" s="30"/>
      <c r="D500" s="7">
        <v>1</v>
      </c>
      <c r="E500" s="8">
        <f>ROUND(14+((4.75-1.4)/0.2),0)+3</f>
        <v>34</v>
      </c>
      <c r="F500" s="8">
        <v>0.222</v>
      </c>
      <c r="G500" s="8">
        <f>0.438+0.105*2</f>
        <v>0.64800000000000002</v>
      </c>
      <c r="H500" s="9">
        <f>PRODUCT(D500:G500)</f>
        <v>4.8911040000000003</v>
      </c>
      <c r="I500" s="36" t="s">
        <v>29</v>
      </c>
      <c r="J500" s="18"/>
      <c r="K500" s="19" t="s">
        <v>129</v>
      </c>
    </row>
    <row r="501" spans="2:11">
      <c r="B501" s="4"/>
      <c r="C501" s="30" t="s">
        <v>479</v>
      </c>
      <c r="D501" s="7">
        <v>1</v>
      </c>
      <c r="E501" s="8">
        <v>6</v>
      </c>
      <c r="F501" s="8">
        <v>0.56000000000000005</v>
      </c>
      <c r="G501" s="8">
        <f>+G424+0.15+0.15+0.6</f>
        <v>5.5500000000000007</v>
      </c>
      <c r="H501" s="9">
        <f t="shared" ref="H501:H506" si="52">PRODUCT(D501:G501)</f>
        <v>18.648000000000003</v>
      </c>
      <c r="I501" s="36" t="s">
        <v>26</v>
      </c>
      <c r="J501" s="18" t="s">
        <v>69</v>
      </c>
      <c r="K501" s="19" t="s">
        <v>130</v>
      </c>
    </row>
    <row r="502" spans="2:11">
      <c r="B502" s="4"/>
      <c r="C502" s="30"/>
      <c r="D502" s="7">
        <v>1</v>
      </c>
      <c r="E502" s="8">
        <f>ROUND(14+((4.15-1.4)/0.2),0)+3</f>
        <v>31</v>
      </c>
      <c r="F502" s="8">
        <v>0.222</v>
      </c>
      <c r="G502" s="8">
        <f>0.438+0.105*2</f>
        <v>0.64800000000000002</v>
      </c>
      <c r="H502" s="9">
        <f t="shared" si="52"/>
        <v>4.4595359999999999</v>
      </c>
      <c r="I502" s="36" t="s">
        <v>29</v>
      </c>
      <c r="J502" s="18"/>
      <c r="K502" s="19" t="s">
        <v>129</v>
      </c>
    </row>
    <row r="503" spans="2:11">
      <c r="B503" s="4"/>
      <c r="C503" s="30" t="s">
        <v>479</v>
      </c>
      <c r="D503" s="7">
        <v>1</v>
      </c>
      <c r="E503" s="8">
        <v>6</v>
      </c>
      <c r="F503" s="8">
        <v>0.56000000000000005</v>
      </c>
      <c r="G503" s="8">
        <f>+G425+0.15+0.15+0.6</f>
        <v>5.5500000000000007</v>
      </c>
      <c r="H503" s="9">
        <f t="shared" si="52"/>
        <v>18.648000000000003</v>
      </c>
      <c r="I503" s="36" t="s">
        <v>26</v>
      </c>
      <c r="J503" s="18" t="s">
        <v>481</v>
      </c>
      <c r="K503" s="19" t="s">
        <v>130</v>
      </c>
    </row>
    <row r="504" spans="2:11">
      <c r="B504" s="4"/>
      <c r="C504" s="30"/>
      <c r="D504" s="7">
        <v>1</v>
      </c>
      <c r="E504" s="8">
        <f>ROUND(14+((4.15-1.4)/0.2),0)+3</f>
        <v>31</v>
      </c>
      <c r="F504" s="8">
        <v>0.222</v>
      </c>
      <c r="G504" s="8">
        <f>0.438+0.105*2</f>
        <v>0.64800000000000002</v>
      </c>
      <c r="H504" s="9">
        <f t="shared" si="52"/>
        <v>4.4595359999999999</v>
      </c>
      <c r="I504" s="36" t="s">
        <v>29</v>
      </c>
      <c r="J504" s="18"/>
      <c r="K504" s="19" t="s">
        <v>129</v>
      </c>
    </row>
    <row r="505" spans="2:11">
      <c r="B505" s="4"/>
      <c r="C505" s="30" t="s">
        <v>479</v>
      </c>
      <c r="D505" s="7">
        <v>1</v>
      </c>
      <c r="E505" s="8">
        <v>6</v>
      </c>
      <c r="F505" s="8">
        <v>0.56000000000000005</v>
      </c>
      <c r="G505" s="8">
        <f>+G426+0.15+0.15+0.6</f>
        <v>5.25</v>
      </c>
      <c r="H505" s="9">
        <f t="shared" si="52"/>
        <v>17.64</v>
      </c>
      <c r="I505" s="36" t="s">
        <v>26</v>
      </c>
      <c r="J505" s="18" t="s">
        <v>482</v>
      </c>
      <c r="K505" s="19" t="s">
        <v>130</v>
      </c>
    </row>
    <row r="506" spans="2:11">
      <c r="B506" s="4"/>
      <c r="C506" s="30"/>
      <c r="D506" s="7">
        <v>1</v>
      </c>
      <c r="E506" s="8">
        <f>ROUND(14+((3.85-1.4)/0.2),0)+3</f>
        <v>29</v>
      </c>
      <c r="F506" s="8">
        <v>0.222</v>
      </c>
      <c r="G506" s="8">
        <f>0.438+0.105*2</f>
        <v>0.64800000000000002</v>
      </c>
      <c r="H506" s="9">
        <f t="shared" si="52"/>
        <v>4.171824</v>
      </c>
      <c r="I506" s="36" t="s">
        <v>29</v>
      </c>
      <c r="J506" s="18"/>
      <c r="K506" s="19" t="s">
        <v>129</v>
      </c>
    </row>
    <row r="507" spans="2:11">
      <c r="B507" s="4"/>
      <c r="C507" s="30"/>
      <c r="D507" s="7"/>
      <c r="E507" s="8"/>
      <c r="F507" s="8"/>
      <c r="G507" s="8"/>
      <c r="H507" s="9"/>
      <c r="I507" s="36"/>
      <c r="J507" s="18"/>
      <c r="K507" s="19"/>
    </row>
    <row r="508" spans="2:11">
      <c r="B508" s="4"/>
      <c r="C508" s="30"/>
      <c r="D508" s="7"/>
      <c r="E508" s="8"/>
      <c r="F508" s="8"/>
      <c r="G508" s="8"/>
      <c r="H508" s="9"/>
      <c r="I508" s="36"/>
      <c r="J508" s="18"/>
      <c r="K508" s="19"/>
    </row>
    <row r="509" spans="2:11">
      <c r="B509" s="4"/>
      <c r="C509" s="30" t="s">
        <v>479</v>
      </c>
      <c r="D509" s="7">
        <v>1</v>
      </c>
      <c r="E509" s="8">
        <v>6</v>
      </c>
      <c r="F509" s="8">
        <v>0.56000000000000005</v>
      </c>
      <c r="G509" s="8">
        <f>+G432+0.15+0.15+0.6</f>
        <v>0.89999999999999991</v>
      </c>
      <c r="H509" s="9">
        <f>PRODUCT(D509:G509)</f>
        <v>3.024</v>
      </c>
      <c r="I509" s="36" t="s">
        <v>26</v>
      </c>
      <c r="J509" s="18" t="s">
        <v>484</v>
      </c>
      <c r="K509" s="19" t="s">
        <v>130</v>
      </c>
    </row>
    <row r="510" spans="2:11">
      <c r="B510" s="4"/>
      <c r="C510" s="30"/>
      <c r="D510" s="7">
        <v>1</v>
      </c>
      <c r="E510" s="8">
        <f>ROUND(14+((4.75-1.4)/0.2),0)+3</f>
        <v>34</v>
      </c>
      <c r="F510" s="8">
        <v>0.222</v>
      </c>
      <c r="G510" s="8">
        <f>0.438+0.105*2</f>
        <v>0.64800000000000002</v>
      </c>
      <c r="H510" s="9">
        <f>PRODUCT(D510:G510)</f>
        <v>4.8911040000000003</v>
      </c>
      <c r="I510" s="36" t="s">
        <v>29</v>
      </c>
      <c r="J510" s="18"/>
      <c r="K510" s="19" t="s">
        <v>129</v>
      </c>
    </row>
    <row r="511" spans="2:11">
      <c r="B511" s="4"/>
      <c r="C511" s="30" t="s">
        <v>479</v>
      </c>
      <c r="D511" s="7">
        <v>1</v>
      </c>
      <c r="E511" s="8">
        <v>6</v>
      </c>
      <c r="F511" s="8">
        <v>0.56000000000000005</v>
      </c>
      <c r="G511" s="8">
        <f>+G438+0.15+0.15+0.6</f>
        <v>0.89999999999999991</v>
      </c>
      <c r="H511" s="9">
        <f t="shared" ref="H511:H516" si="53">PRODUCT(D511:G511)</f>
        <v>3.024</v>
      </c>
      <c r="I511" s="36" t="s">
        <v>26</v>
      </c>
      <c r="J511" s="18" t="s">
        <v>128</v>
      </c>
      <c r="K511" s="19" t="s">
        <v>130</v>
      </c>
    </row>
    <row r="512" spans="2:11">
      <c r="B512" s="4"/>
      <c r="C512" s="30"/>
      <c r="D512" s="7">
        <v>1</v>
      </c>
      <c r="E512" s="8">
        <f>ROUND(14+((4.15-1.4)/0.2),0)+3</f>
        <v>31</v>
      </c>
      <c r="F512" s="8">
        <v>0.222</v>
      </c>
      <c r="G512" s="8">
        <f>0.438+0.105*2</f>
        <v>0.64800000000000002</v>
      </c>
      <c r="H512" s="9">
        <f t="shared" si="53"/>
        <v>4.4595359999999999</v>
      </c>
      <c r="I512" s="36" t="s">
        <v>29</v>
      </c>
      <c r="J512" s="18"/>
      <c r="K512" s="19" t="s">
        <v>129</v>
      </c>
    </row>
    <row r="513" spans="2:11">
      <c r="B513" s="4"/>
      <c r="C513" s="30" t="s">
        <v>479</v>
      </c>
      <c r="D513" s="7">
        <v>1</v>
      </c>
      <c r="E513" s="8">
        <v>6</v>
      </c>
      <c r="F513" s="8">
        <v>0.56000000000000005</v>
      </c>
      <c r="G513" s="8">
        <f>+G439+0.15+0.15+0.6</f>
        <v>0.89999999999999991</v>
      </c>
      <c r="H513" s="9">
        <f t="shared" si="53"/>
        <v>3.024</v>
      </c>
      <c r="I513" s="36" t="s">
        <v>26</v>
      </c>
      <c r="J513" s="18" t="s">
        <v>127</v>
      </c>
      <c r="K513" s="19" t="s">
        <v>130</v>
      </c>
    </row>
    <row r="514" spans="2:11">
      <c r="B514" s="4"/>
      <c r="C514" s="30"/>
      <c r="D514" s="7">
        <v>1</v>
      </c>
      <c r="E514" s="8">
        <f>ROUND(14+((4.15-1.4)/0.2),0)+3</f>
        <v>31</v>
      </c>
      <c r="F514" s="8">
        <v>0.222</v>
      </c>
      <c r="G514" s="8">
        <f>0.438+0.105*2</f>
        <v>0.64800000000000002</v>
      </c>
      <c r="H514" s="9">
        <f t="shared" si="53"/>
        <v>4.4595359999999999</v>
      </c>
      <c r="I514" s="36" t="s">
        <v>29</v>
      </c>
      <c r="J514" s="18"/>
      <c r="K514" s="19" t="s">
        <v>129</v>
      </c>
    </row>
    <row r="515" spans="2:11">
      <c r="B515" s="4"/>
      <c r="C515" s="30" t="s">
        <v>479</v>
      </c>
      <c r="D515" s="7">
        <v>1</v>
      </c>
      <c r="E515" s="8">
        <v>6</v>
      </c>
      <c r="F515" s="8">
        <v>0.56000000000000005</v>
      </c>
      <c r="G515" s="8">
        <f>+G440+0.15+0.15+0.6</f>
        <v>0.89999999999999991</v>
      </c>
      <c r="H515" s="9">
        <f t="shared" si="53"/>
        <v>3.024</v>
      </c>
      <c r="I515" s="36" t="s">
        <v>26</v>
      </c>
      <c r="J515" s="18" t="s">
        <v>127</v>
      </c>
      <c r="K515" s="19" t="s">
        <v>130</v>
      </c>
    </row>
    <row r="516" spans="2:11">
      <c r="B516" s="4"/>
      <c r="C516" s="30"/>
      <c r="D516" s="7">
        <v>1</v>
      </c>
      <c r="E516" s="8">
        <f>ROUND(14+((3.85-1.4)/0.2),0)+3</f>
        <v>29</v>
      </c>
      <c r="F516" s="8">
        <v>0.222</v>
      </c>
      <c r="G516" s="8">
        <f>0.438+0.105*2</f>
        <v>0.64800000000000002</v>
      </c>
      <c r="H516" s="9">
        <f t="shared" si="53"/>
        <v>4.171824</v>
      </c>
      <c r="I516" s="36" t="s">
        <v>29</v>
      </c>
      <c r="J516" s="18"/>
      <c r="K516" s="19" t="s">
        <v>129</v>
      </c>
    </row>
    <row r="517" spans="2:11">
      <c r="B517" s="4"/>
      <c r="C517" s="39"/>
      <c r="D517" s="7"/>
      <c r="E517" s="8"/>
      <c r="F517" s="8"/>
      <c r="G517" s="8"/>
      <c r="H517" s="9"/>
      <c r="I517" s="36"/>
      <c r="J517" s="18"/>
      <c r="K517" s="19"/>
    </row>
    <row r="518" spans="2:11">
      <c r="B518" s="4"/>
      <c r="C518" s="39"/>
      <c r="D518" s="7"/>
      <c r="E518" s="8"/>
      <c r="F518" s="8"/>
      <c r="G518" s="8"/>
      <c r="H518" s="9"/>
      <c r="I518" s="36"/>
      <c r="J518" s="18"/>
      <c r="K518" s="19"/>
    </row>
    <row r="519" spans="2:11">
      <c r="B519" s="4"/>
      <c r="C519" s="30" t="s">
        <v>650</v>
      </c>
      <c r="D519" s="7"/>
      <c r="E519" s="8"/>
      <c r="F519" s="8"/>
      <c r="G519" s="8"/>
      <c r="H519" s="34"/>
      <c r="I519" s="36"/>
      <c r="J519" s="18"/>
      <c r="K519" s="19"/>
    </row>
    <row r="520" spans="2:11">
      <c r="B520" s="4"/>
      <c r="C520" s="30" t="s">
        <v>479</v>
      </c>
      <c r="D520" s="7">
        <v>4</v>
      </c>
      <c r="E520" s="8">
        <v>6</v>
      </c>
      <c r="F520" s="8">
        <v>0.56000000000000005</v>
      </c>
      <c r="G520" s="8">
        <f>+G434+0.15+0.15</f>
        <v>1.9999999999999998</v>
      </c>
      <c r="H520" s="9">
        <f t="shared" ref="H520:H523" si="54">PRODUCT(D520:G520)</f>
        <v>26.88</v>
      </c>
      <c r="I520" s="36" t="s">
        <v>26</v>
      </c>
      <c r="J520" s="18"/>
      <c r="K520" s="19" t="s">
        <v>130</v>
      </c>
    </row>
    <row r="521" spans="2:11">
      <c r="B521" s="4"/>
      <c r="C521" s="30"/>
      <c r="D521" s="7">
        <v>4</v>
      </c>
      <c r="E521" s="8">
        <f>ROUND(14+((1.7-1.4)/0.2),0)</f>
        <v>16</v>
      </c>
      <c r="F521" s="8">
        <v>0.222</v>
      </c>
      <c r="G521" s="8">
        <f>0.438+0.105*2</f>
        <v>0.64800000000000002</v>
      </c>
      <c r="H521" s="9">
        <f t="shared" si="54"/>
        <v>9.2067840000000007</v>
      </c>
      <c r="I521" s="36" t="s">
        <v>29</v>
      </c>
      <c r="J521" s="18"/>
      <c r="K521" s="19" t="s">
        <v>129</v>
      </c>
    </row>
    <row r="522" spans="2:11">
      <c r="B522" s="4"/>
      <c r="C522" s="30" t="s">
        <v>479</v>
      </c>
      <c r="D522" s="7">
        <v>4</v>
      </c>
      <c r="E522" s="8">
        <v>6</v>
      </c>
      <c r="F522" s="8">
        <v>0.56000000000000005</v>
      </c>
      <c r="G522" s="8">
        <f>+G436+0.15+0.15</f>
        <v>0.3</v>
      </c>
      <c r="H522" s="9">
        <f t="shared" si="54"/>
        <v>4.032</v>
      </c>
      <c r="I522" s="36" t="s">
        <v>26</v>
      </c>
      <c r="J522" s="18"/>
      <c r="K522" s="19" t="s">
        <v>130</v>
      </c>
    </row>
    <row r="523" spans="2:11">
      <c r="B523" s="4"/>
      <c r="C523" s="39"/>
      <c r="D523" s="7">
        <v>4</v>
      </c>
      <c r="E523" s="8">
        <f>ROUND(14+((1.7-1.4)/0.2),0)</f>
        <v>16</v>
      </c>
      <c r="F523" s="8">
        <v>0.222</v>
      </c>
      <c r="G523" s="8">
        <f>0.438+0.105*2</f>
        <v>0.64800000000000002</v>
      </c>
      <c r="H523" s="9">
        <f t="shared" si="54"/>
        <v>9.2067840000000007</v>
      </c>
      <c r="I523" s="36" t="s">
        <v>29</v>
      </c>
      <c r="J523" s="18"/>
      <c r="K523" s="19" t="s">
        <v>129</v>
      </c>
    </row>
    <row r="524" spans="2:11">
      <c r="B524" s="4"/>
      <c r="C524" s="39"/>
      <c r="D524" s="7"/>
      <c r="E524" s="8"/>
      <c r="F524" s="8"/>
      <c r="G524" s="8"/>
      <c r="H524" s="9"/>
      <c r="I524" s="36"/>
      <c r="J524" s="18"/>
      <c r="K524" s="19"/>
    </row>
    <row r="525" spans="2:11">
      <c r="B525" s="4"/>
      <c r="C525" s="39"/>
      <c r="D525" s="7"/>
      <c r="E525" s="8"/>
      <c r="F525" s="8"/>
      <c r="G525" s="8"/>
      <c r="H525" s="9"/>
      <c r="I525" s="36"/>
      <c r="J525" s="18"/>
      <c r="K525" s="19"/>
    </row>
    <row r="526" spans="2:11">
      <c r="B526" s="4"/>
      <c r="C526" s="21"/>
      <c r="D526" s="7"/>
      <c r="E526" s="8"/>
      <c r="F526" s="8"/>
      <c r="G526" s="8"/>
      <c r="H526" s="9"/>
      <c r="I526" s="10"/>
      <c r="J526" s="18"/>
      <c r="K526" s="19"/>
    </row>
    <row r="527" spans="2:11">
      <c r="B527" s="4"/>
      <c r="C527" s="196" t="s">
        <v>27</v>
      </c>
      <c r="D527" s="191"/>
      <c r="E527" s="191"/>
      <c r="F527" s="191"/>
      <c r="G527" s="191"/>
      <c r="H527" s="192"/>
      <c r="I527" s="11">
        <f>SUM(H529:H573)</f>
        <v>102.68200000000004</v>
      </c>
      <c r="J527" s="18" t="s">
        <v>19</v>
      </c>
      <c r="K527" s="19"/>
    </row>
    <row r="528" spans="2:11">
      <c r="B528" s="4"/>
      <c r="C528" s="21"/>
      <c r="D528" s="7"/>
      <c r="E528" s="8"/>
      <c r="F528" s="8"/>
      <c r="G528" s="8"/>
      <c r="H528" s="9"/>
      <c r="I528" s="10"/>
      <c r="J528" s="18"/>
      <c r="K528" s="19"/>
    </row>
    <row r="529" spans="2:11">
      <c r="B529" s="4"/>
      <c r="C529" s="30" t="s">
        <v>125</v>
      </c>
      <c r="D529" s="7">
        <v>1</v>
      </c>
      <c r="E529" s="8">
        <f>0.25+0.25+0.1+0.1</f>
        <v>0.7</v>
      </c>
      <c r="F529" s="8"/>
      <c r="G529" s="8">
        <f>4.15+0.35</f>
        <v>4.5</v>
      </c>
      <c r="H529" s="34">
        <f t="shared" ref="H529:H547" si="55">PRODUCT(D529:G529)</f>
        <v>3.15</v>
      </c>
      <c r="I529" s="10"/>
      <c r="J529" s="124" t="s">
        <v>463</v>
      </c>
      <c r="K529" s="19"/>
    </row>
    <row r="530" spans="2:11">
      <c r="B530" s="4"/>
      <c r="C530" s="30" t="s">
        <v>125</v>
      </c>
      <c r="D530" s="7">
        <v>1</v>
      </c>
      <c r="E530" s="8">
        <f>0.25+0.1+0.1+0.1</f>
        <v>0.54999999999999993</v>
      </c>
      <c r="F530" s="8"/>
      <c r="G530" s="8">
        <f>4.15+0.65</f>
        <v>4.8000000000000007</v>
      </c>
      <c r="H530" s="34">
        <f t="shared" si="55"/>
        <v>2.64</v>
      </c>
      <c r="I530" s="10"/>
      <c r="J530" s="124" t="s">
        <v>464</v>
      </c>
      <c r="K530" s="19"/>
    </row>
    <row r="531" spans="2:11">
      <c r="B531" s="4"/>
      <c r="C531" s="30" t="s">
        <v>125</v>
      </c>
      <c r="D531" s="7">
        <v>1</v>
      </c>
      <c r="E531" s="8">
        <f>0.25+0.1+0.1+0.1</f>
        <v>0.54999999999999993</v>
      </c>
      <c r="F531" s="8"/>
      <c r="G531" s="8">
        <f>4.15+0.65</f>
        <v>4.8000000000000007</v>
      </c>
      <c r="H531" s="34">
        <f t="shared" si="55"/>
        <v>2.64</v>
      </c>
      <c r="I531" s="10"/>
      <c r="J531" s="124" t="s">
        <v>465</v>
      </c>
      <c r="K531" s="19"/>
    </row>
    <row r="532" spans="2:11">
      <c r="B532" s="4"/>
      <c r="C532" s="30" t="s">
        <v>125</v>
      </c>
      <c r="D532" s="7">
        <v>1</v>
      </c>
      <c r="E532" s="8">
        <f>0.25+0.25+0.1+0.1</f>
        <v>0.7</v>
      </c>
      <c r="F532" s="8"/>
      <c r="G532" s="8">
        <f>3.55+0.35</f>
        <v>3.9</v>
      </c>
      <c r="H532" s="34">
        <f t="shared" si="55"/>
        <v>2.73</v>
      </c>
      <c r="I532" s="10"/>
      <c r="J532" s="124" t="s">
        <v>466</v>
      </c>
      <c r="K532" s="19"/>
    </row>
    <row r="533" spans="2:11">
      <c r="B533" s="4"/>
      <c r="C533" s="30" t="s">
        <v>125</v>
      </c>
      <c r="D533" s="7">
        <v>1</v>
      </c>
      <c r="E533" s="8">
        <f>0.25+0.25+0.1+0.1</f>
        <v>0.7</v>
      </c>
      <c r="F533" s="8"/>
      <c r="G533" s="8">
        <f>4.75+0.15+0.35</f>
        <v>5.25</v>
      </c>
      <c r="H533" s="34">
        <f t="shared" si="55"/>
        <v>3.6749999999999998</v>
      </c>
      <c r="I533" s="10"/>
      <c r="J533" s="124" t="s">
        <v>467</v>
      </c>
      <c r="K533" s="19"/>
    </row>
    <row r="534" spans="2:11">
      <c r="B534" s="4"/>
      <c r="C534" s="30" t="s">
        <v>125</v>
      </c>
      <c r="D534" s="7">
        <v>1</v>
      </c>
      <c r="E534" s="8">
        <f>0.25+0.25+0.1+0.1</f>
        <v>0.7</v>
      </c>
      <c r="F534" s="8"/>
      <c r="G534" s="8">
        <f>4.75+0.15+0.65</f>
        <v>5.5500000000000007</v>
      </c>
      <c r="H534" s="34">
        <f t="shared" si="55"/>
        <v>3.8850000000000002</v>
      </c>
      <c r="I534" s="10"/>
      <c r="J534" s="124" t="s">
        <v>74</v>
      </c>
      <c r="K534" s="19"/>
    </row>
    <row r="535" spans="2:11">
      <c r="B535" s="4"/>
      <c r="C535" s="30" t="s">
        <v>125</v>
      </c>
      <c r="D535" s="7">
        <v>1</v>
      </c>
      <c r="E535" s="8">
        <f>0.25+0.25+0.1+0.1</f>
        <v>0.7</v>
      </c>
      <c r="F535" s="8"/>
      <c r="G535" s="8">
        <f>4.75+0.15+0.65</f>
        <v>5.5500000000000007</v>
      </c>
      <c r="H535" s="34">
        <f t="shared" si="55"/>
        <v>3.8850000000000002</v>
      </c>
      <c r="I535" s="10"/>
      <c r="J535" s="124" t="s">
        <v>468</v>
      </c>
      <c r="K535" s="19"/>
    </row>
    <row r="536" spans="2:11">
      <c r="B536" s="4"/>
      <c r="C536" s="30" t="s">
        <v>125</v>
      </c>
      <c r="D536" s="7">
        <v>1</v>
      </c>
      <c r="E536" s="8">
        <f>0.25+0.25+0.25+0.1</f>
        <v>0.85</v>
      </c>
      <c r="F536" s="8"/>
      <c r="G536" s="8">
        <f>4.15+0.15+0.35</f>
        <v>4.6500000000000004</v>
      </c>
      <c r="H536" s="34">
        <f t="shared" si="55"/>
        <v>3.9525000000000001</v>
      </c>
      <c r="I536" s="10"/>
      <c r="J536" s="124" t="s">
        <v>127</v>
      </c>
      <c r="K536" s="19"/>
    </row>
    <row r="537" spans="2:11">
      <c r="B537" s="4"/>
      <c r="C537" s="30" t="s">
        <v>125</v>
      </c>
      <c r="D537" s="7">
        <v>1</v>
      </c>
      <c r="E537" s="8">
        <f>0.25+0.25+0.1+0.1</f>
        <v>0.7</v>
      </c>
      <c r="F537" s="8"/>
      <c r="G537" s="8">
        <f>4.16+0.15+0.35</f>
        <v>4.66</v>
      </c>
      <c r="H537" s="34">
        <f t="shared" si="55"/>
        <v>3.262</v>
      </c>
      <c r="I537" s="10"/>
      <c r="J537" s="124" t="s">
        <v>469</v>
      </c>
      <c r="K537" s="19"/>
    </row>
    <row r="538" spans="2:11">
      <c r="B538" s="4"/>
      <c r="C538" s="30" t="s">
        <v>125</v>
      </c>
      <c r="D538" s="7">
        <v>1</v>
      </c>
      <c r="E538" s="8">
        <f>0.25+0.25+0.25+0.1</f>
        <v>0.85</v>
      </c>
      <c r="F538" s="8"/>
      <c r="G538" s="8">
        <f>4.16+0.15+0.35</f>
        <v>4.66</v>
      </c>
      <c r="H538" s="34">
        <f t="shared" si="55"/>
        <v>3.9609999999999999</v>
      </c>
      <c r="I538" s="10"/>
      <c r="J538" s="124" t="s">
        <v>73</v>
      </c>
      <c r="K538" s="19"/>
    </row>
    <row r="539" spans="2:11">
      <c r="B539" s="4"/>
      <c r="C539" s="30" t="s">
        <v>125</v>
      </c>
      <c r="D539" s="7">
        <v>1</v>
      </c>
      <c r="E539" s="8">
        <f>0.25+0.1+0.1+0.25</f>
        <v>0.7</v>
      </c>
      <c r="F539" s="8"/>
      <c r="G539" s="8">
        <f>4.16+0.15+0.35</f>
        <v>4.66</v>
      </c>
      <c r="H539" s="34">
        <f t="shared" si="55"/>
        <v>3.262</v>
      </c>
      <c r="I539" s="10"/>
      <c r="J539" s="124" t="s">
        <v>470</v>
      </c>
      <c r="K539" s="19"/>
    </row>
    <row r="540" spans="2:11">
      <c r="B540" s="4"/>
      <c r="C540" s="30" t="s">
        <v>125</v>
      </c>
      <c r="D540" s="7">
        <v>1</v>
      </c>
      <c r="E540" s="8">
        <f>0.25+0.25+0.1+0.1</f>
        <v>0.7</v>
      </c>
      <c r="F540" s="8"/>
      <c r="G540" s="8">
        <f>4.15+0.15+0.35</f>
        <v>4.6500000000000004</v>
      </c>
      <c r="H540" s="34">
        <f t="shared" si="55"/>
        <v>3.2549999999999999</v>
      </c>
      <c r="I540" s="10"/>
      <c r="J540" s="124" t="s">
        <v>70</v>
      </c>
      <c r="K540" s="19"/>
    </row>
    <row r="541" spans="2:11">
      <c r="B541" s="4"/>
      <c r="C541" s="30" t="s">
        <v>125</v>
      </c>
      <c r="D541" s="7">
        <v>1</v>
      </c>
      <c r="E541" s="8">
        <f t="shared" ref="E541:E543" si="56">0.25+0.25+0.1+0.1</f>
        <v>0.7</v>
      </c>
      <c r="F541" s="8"/>
      <c r="G541" s="8">
        <f>4.15+0.15+0.35</f>
        <v>4.6500000000000004</v>
      </c>
      <c r="H541" s="34">
        <f t="shared" si="55"/>
        <v>3.2549999999999999</v>
      </c>
      <c r="I541" s="10"/>
      <c r="J541" s="124" t="s">
        <v>71</v>
      </c>
      <c r="K541" s="19"/>
    </row>
    <row r="542" spans="2:11">
      <c r="B542" s="4"/>
      <c r="C542" s="30" t="s">
        <v>125</v>
      </c>
      <c r="D542" s="7">
        <v>1</v>
      </c>
      <c r="E542" s="8">
        <f>0.25+0.25+0.25+0.1</f>
        <v>0.85</v>
      </c>
      <c r="F542" s="8"/>
      <c r="G542" s="8">
        <f>4.16+0.15+0.35</f>
        <v>4.66</v>
      </c>
      <c r="H542" s="34">
        <f t="shared" si="55"/>
        <v>3.9609999999999999</v>
      </c>
      <c r="I542" s="10"/>
      <c r="J542" s="124" t="s">
        <v>72</v>
      </c>
      <c r="K542" s="19"/>
    </row>
    <row r="543" spans="2:11">
      <c r="B543" s="4"/>
      <c r="C543" s="30" t="s">
        <v>125</v>
      </c>
      <c r="D543" s="7">
        <v>1</v>
      </c>
      <c r="E543" s="8">
        <f t="shared" si="56"/>
        <v>0.7</v>
      </c>
      <c r="F543" s="8"/>
      <c r="G543" s="8">
        <f>4+0.35</f>
        <v>4.3499999999999996</v>
      </c>
      <c r="H543" s="34">
        <f t="shared" si="55"/>
        <v>3.0449999999999995</v>
      </c>
      <c r="I543" s="10"/>
      <c r="J543" s="124" t="s">
        <v>471</v>
      </c>
      <c r="K543" s="19"/>
    </row>
    <row r="544" spans="2:11">
      <c r="B544" s="4"/>
      <c r="C544" s="30" t="s">
        <v>125</v>
      </c>
      <c r="D544" s="7">
        <v>1</v>
      </c>
      <c r="E544" s="8">
        <f>0.25+0.1+0.1+0.1</f>
        <v>0.54999999999999993</v>
      </c>
      <c r="F544" s="8"/>
      <c r="G544" s="8">
        <f>4+0.35</f>
        <v>4.3499999999999996</v>
      </c>
      <c r="H544" s="34">
        <f t="shared" si="55"/>
        <v>2.3924999999999996</v>
      </c>
      <c r="I544" s="10"/>
      <c r="J544" s="124" t="s">
        <v>66</v>
      </c>
      <c r="K544" s="19"/>
    </row>
    <row r="545" spans="2:11">
      <c r="B545" s="4"/>
      <c r="C545" s="30" t="s">
        <v>125</v>
      </c>
      <c r="D545" s="7">
        <v>1</v>
      </c>
      <c r="E545" s="8">
        <f>0.25+0.1+0.1+0.1</f>
        <v>0.54999999999999993</v>
      </c>
      <c r="F545" s="8"/>
      <c r="G545" s="8">
        <f>4+0.35</f>
        <v>4.3499999999999996</v>
      </c>
      <c r="H545" s="34">
        <f t="shared" si="55"/>
        <v>2.3924999999999996</v>
      </c>
      <c r="I545" s="10"/>
      <c r="J545" s="124" t="s">
        <v>67</v>
      </c>
      <c r="K545" s="19"/>
    </row>
    <row r="546" spans="2:11">
      <c r="B546" s="4"/>
      <c r="C546" s="30" t="s">
        <v>125</v>
      </c>
      <c r="D546" s="7">
        <v>1</v>
      </c>
      <c r="E546" s="8">
        <f>0.25+0.1+0.1+0.1</f>
        <v>0.54999999999999993</v>
      </c>
      <c r="F546" s="8"/>
      <c r="G546" s="8">
        <f>4+0.35</f>
        <v>4.3499999999999996</v>
      </c>
      <c r="H546" s="34">
        <f t="shared" si="55"/>
        <v>2.3924999999999996</v>
      </c>
      <c r="I546" s="10"/>
      <c r="J546" s="124" t="s">
        <v>472</v>
      </c>
      <c r="K546" s="19"/>
    </row>
    <row r="547" spans="2:11">
      <c r="B547" s="4"/>
      <c r="C547" s="30" t="s">
        <v>125</v>
      </c>
      <c r="D547" s="7">
        <v>1</v>
      </c>
      <c r="E547" s="8">
        <f t="shared" ref="E547" si="57">0.25+0.25+0.1+0.1</f>
        <v>0.7</v>
      </c>
      <c r="F547" s="8"/>
      <c r="G547" s="8">
        <f>4+0.35</f>
        <v>4.3499999999999996</v>
      </c>
      <c r="H547" s="34">
        <f t="shared" si="55"/>
        <v>3.0449999999999995</v>
      </c>
      <c r="I547" s="10"/>
      <c r="J547" s="124" t="s">
        <v>68</v>
      </c>
      <c r="K547" s="19"/>
    </row>
    <row r="548" spans="2:11">
      <c r="B548" s="4"/>
      <c r="C548" s="35"/>
      <c r="D548" s="7"/>
      <c r="E548" s="8"/>
      <c r="F548" s="8"/>
      <c r="G548" s="8"/>
      <c r="H548" s="34"/>
      <c r="I548" s="10"/>
      <c r="J548" s="124"/>
      <c r="K548" s="19"/>
    </row>
    <row r="549" spans="2:11">
      <c r="B549" s="4"/>
      <c r="C549" s="30" t="s">
        <v>126</v>
      </c>
      <c r="D549" s="7">
        <v>1</v>
      </c>
      <c r="E549" s="8">
        <f>0.25+0.25+0.25+0.25</f>
        <v>1</v>
      </c>
      <c r="F549" s="8"/>
      <c r="G549" s="8">
        <f>4.15+0.35</f>
        <v>4.5</v>
      </c>
      <c r="H549" s="34">
        <f t="shared" ref="H549:H550" si="58">PRODUCT(D549:G549)</f>
        <v>4.5</v>
      </c>
      <c r="I549" s="10"/>
      <c r="J549" s="124" t="s">
        <v>473</v>
      </c>
      <c r="K549" s="19"/>
    </row>
    <row r="550" spans="2:11">
      <c r="B550" s="4"/>
      <c r="C550" s="30" t="s">
        <v>126</v>
      </c>
      <c r="D550" s="7">
        <v>1</v>
      </c>
      <c r="E550" s="8">
        <f>0.25+0.25+0.25+0.25</f>
        <v>1</v>
      </c>
      <c r="F550" s="8"/>
      <c r="G550" s="8">
        <f>4.75+0.15+0.35</f>
        <v>5.25</v>
      </c>
      <c r="H550" s="34">
        <f t="shared" si="58"/>
        <v>5.25</v>
      </c>
      <c r="I550" s="10"/>
      <c r="J550" s="124" t="s">
        <v>474</v>
      </c>
      <c r="K550" s="19"/>
    </row>
    <row r="551" spans="2:11">
      <c r="B551" s="4"/>
      <c r="C551" s="30"/>
      <c r="D551" s="7"/>
      <c r="E551" s="8"/>
      <c r="F551" s="8"/>
      <c r="G551" s="8"/>
      <c r="H551" s="34"/>
      <c r="I551" s="10"/>
      <c r="J551" s="124"/>
      <c r="K551" s="19"/>
    </row>
    <row r="552" spans="2:11">
      <c r="B552" s="4"/>
      <c r="C552" s="30" t="s">
        <v>475</v>
      </c>
      <c r="D552" s="7">
        <v>1</v>
      </c>
      <c r="E552" s="8">
        <f>0.25+0.25+0.15+0.15</f>
        <v>0.8</v>
      </c>
      <c r="F552" s="8"/>
      <c r="G552" s="8">
        <f>4.49+0.15+0.35</f>
        <v>4.99</v>
      </c>
      <c r="H552" s="34">
        <f t="shared" ref="H552:H555" si="59">PRODUCT(D552:G552)</f>
        <v>3.9920000000000004</v>
      </c>
      <c r="I552" s="10"/>
      <c r="J552" s="124" t="s">
        <v>476</v>
      </c>
      <c r="K552" s="19"/>
    </row>
    <row r="553" spans="2:11">
      <c r="B553" s="4"/>
      <c r="C553" s="30" t="s">
        <v>475</v>
      </c>
      <c r="D553" s="7">
        <v>1</v>
      </c>
      <c r="E553" s="8">
        <f>0.25+0.25+0.15+0.15</f>
        <v>0.8</v>
      </c>
      <c r="F553" s="8"/>
      <c r="G553" s="8">
        <f>4.49+0.15+0.65</f>
        <v>5.2900000000000009</v>
      </c>
      <c r="H553" s="34">
        <f t="shared" si="59"/>
        <v>4.2320000000000011</v>
      </c>
      <c r="I553" s="10"/>
      <c r="J553" s="124" t="s">
        <v>477</v>
      </c>
      <c r="K553" s="19"/>
    </row>
    <row r="554" spans="2:11">
      <c r="B554" s="4"/>
      <c r="C554" s="30" t="s">
        <v>475</v>
      </c>
      <c r="D554" s="7">
        <v>1</v>
      </c>
      <c r="E554" s="8">
        <f>0.3+0.25+0.15+0.1</f>
        <v>0.8</v>
      </c>
      <c r="F554" s="8"/>
      <c r="G554" s="8">
        <f>4.49+0.15+0.65</f>
        <v>5.2900000000000009</v>
      </c>
      <c r="H554" s="34">
        <f t="shared" si="59"/>
        <v>4.2320000000000011</v>
      </c>
      <c r="I554" s="10"/>
      <c r="J554" s="124" t="s">
        <v>478</v>
      </c>
      <c r="K554" s="19"/>
    </row>
    <row r="555" spans="2:11">
      <c r="B555" s="4"/>
      <c r="C555" s="30" t="s">
        <v>475</v>
      </c>
      <c r="D555" s="7">
        <v>1</v>
      </c>
      <c r="E555" s="8">
        <f>0.3+0.25+0.25+0.15</f>
        <v>0.95000000000000007</v>
      </c>
      <c r="F555" s="8"/>
      <c r="G555" s="8">
        <f>3.9+0.15+0.35</f>
        <v>4.3999999999999995</v>
      </c>
      <c r="H555" s="34">
        <f t="shared" si="59"/>
        <v>4.18</v>
      </c>
      <c r="I555" s="10"/>
      <c r="J555" s="124" t="s">
        <v>128</v>
      </c>
      <c r="K555" s="19"/>
    </row>
    <row r="556" spans="2:11">
      <c r="B556" s="4"/>
      <c r="C556" s="30"/>
      <c r="D556" s="7"/>
      <c r="E556" s="8"/>
      <c r="F556" s="8"/>
      <c r="G556" s="8"/>
      <c r="H556" s="34"/>
      <c r="I556" s="10"/>
      <c r="J556" s="124"/>
      <c r="K556" s="19"/>
    </row>
    <row r="557" spans="2:11">
      <c r="B557" s="4"/>
      <c r="C557" s="30" t="s">
        <v>479</v>
      </c>
      <c r="D557" s="7">
        <v>1</v>
      </c>
      <c r="E557" s="8">
        <f>0.15+0.15</f>
        <v>0.3</v>
      </c>
      <c r="F557" s="8"/>
      <c r="G557" s="8">
        <f>4.75+0.15+0.35</f>
        <v>5.25</v>
      </c>
      <c r="H557" s="34">
        <f t="shared" ref="H557:H560" si="60">PRODUCT(D557:G557)</f>
        <v>1.575</v>
      </c>
      <c r="I557" s="10"/>
      <c r="J557" s="124" t="s">
        <v>480</v>
      </c>
      <c r="K557" s="19"/>
    </row>
    <row r="558" spans="2:11">
      <c r="B558" s="4"/>
      <c r="C558" s="30" t="s">
        <v>479</v>
      </c>
      <c r="D558" s="7">
        <v>1</v>
      </c>
      <c r="E558" s="8">
        <f>0.15+0.15</f>
        <v>0.3</v>
      </c>
      <c r="F558" s="8"/>
      <c r="G558" s="8">
        <f>4.15+0.15+0.35</f>
        <v>4.6500000000000004</v>
      </c>
      <c r="H558" s="34">
        <f t="shared" si="60"/>
        <v>1.395</v>
      </c>
      <c r="I558" s="10"/>
      <c r="J558" s="124" t="s">
        <v>69</v>
      </c>
      <c r="K558" s="19"/>
    </row>
    <row r="559" spans="2:11">
      <c r="B559" s="4"/>
      <c r="C559" s="30" t="s">
        <v>479</v>
      </c>
      <c r="D559" s="7">
        <v>1</v>
      </c>
      <c r="E559" s="8">
        <f>0.15+0.15+0.15</f>
        <v>0.44999999999999996</v>
      </c>
      <c r="F559" s="8"/>
      <c r="G559" s="8">
        <f>4.15+0.15+0.35</f>
        <v>4.6500000000000004</v>
      </c>
      <c r="H559" s="34">
        <f t="shared" si="60"/>
        <v>2.0924999999999998</v>
      </c>
      <c r="I559" s="10"/>
      <c r="J559" s="124" t="s">
        <v>481</v>
      </c>
      <c r="K559" s="19"/>
    </row>
    <row r="560" spans="2:11">
      <c r="B560" s="4"/>
      <c r="C560" s="30" t="s">
        <v>479</v>
      </c>
      <c r="D560" s="7">
        <v>1</v>
      </c>
      <c r="E560" s="8">
        <v>0.15</v>
      </c>
      <c r="F560" s="8"/>
      <c r="G560" s="8">
        <f>4+0.35</f>
        <v>4.3499999999999996</v>
      </c>
      <c r="H560" s="34">
        <f t="shared" si="60"/>
        <v>0.65249999999999997</v>
      </c>
      <c r="I560" s="10"/>
      <c r="J560" s="124" t="s">
        <v>482</v>
      </c>
      <c r="K560" s="19"/>
    </row>
    <row r="561" spans="2:11">
      <c r="B561" s="4"/>
      <c r="C561" s="30"/>
      <c r="D561" s="7"/>
      <c r="E561" s="8"/>
      <c r="F561" s="8"/>
      <c r="G561" s="8"/>
      <c r="H561" s="34"/>
      <c r="I561" s="10"/>
      <c r="J561" s="124"/>
      <c r="K561" s="19"/>
    </row>
    <row r="562" spans="2:11">
      <c r="B562" s="4"/>
      <c r="C562" s="30" t="s">
        <v>483</v>
      </c>
      <c r="D562" s="7">
        <v>1</v>
      </c>
      <c r="E562" s="8">
        <f>0.15+0.2+0.2</f>
        <v>0.55000000000000004</v>
      </c>
      <c r="F562" s="8"/>
      <c r="G562" s="8">
        <f>2.4+0.2</f>
        <v>2.6</v>
      </c>
      <c r="H562" s="34">
        <f t="shared" ref="H562:H565" si="61">PRODUCT(D562:G562)</f>
        <v>1.4300000000000002</v>
      </c>
      <c r="I562" s="10"/>
      <c r="J562" s="124" t="s">
        <v>484</v>
      </c>
      <c r="K562" s="19"/>
    </row>
    <row r="563" spans="2:11">
      <c r="B563" s="4"/>
      <c r="C563" s="30" t="s">
        <v>483</v>
      </c>
      <c r="D563" s="7">
        <v>1</v>
      </c>
      <c r="E563" s="8">
        <f t="shared" ref="E563:E565" si="62">0.15+0.2+0.2</f>
        <v>0.55000000000000004</v>
      </c>
      <c r="F563" s="8"/>
      <c r="G563" s="8">
        <f t="shared" ref="G563:G565" si="63">2.4+0.2</f>
        <v>2.6</v>
      </c>
      <c r="H563" s="34">
        <f t="shared" si="61"/>
        <v>1.4300000000000002</v>
      </c>
      <c r="I563" s="10"/>
      <c r="J563" s="124" t="s">
        <v>128</v>
      </c>
      <c r="K563" s="19"/>
    </row>
    <row r="564" spans="2:11">
      <c r="B564" s="4"/>
      <c r="C564" s="30" t="s">
        <v>483</v>
      </c>
      <c r="D564" s="7">
        <v>1</v>
      </c>
      <c r="E564" s="8">
        <f t="shared" si="62"/>
        <v>0.55000000000000004</v>
      </c>
      <c r="F564" s="8"/>
      <c r="G564" s="8">
        <f t="shared" si="63"/>
        <v>2.6</v>
      </c>
      <c r="H564" s="34">
        <f t="shared" si="61"/>
        <v>1.4300000000000002</v>
      </c>
      <c r="I564" s="10"/>
      <c r="J564" s="124" t="s">
        <v>127</v>
      </c>
      <c r="K564" s="19"/>
    </row>
    <row r="565" spans="2:11">
      <c r="B565" s="4"/>
      <c r="C565" s="30" t="s">
        <v>483</v>
      </c>
      <c r="D565" s="7">
        <v>1</v>
      </c>
      <c r="E565" s="8">
        <f t="shared" si="62"/>
        <v>0.55000000000000004</v>
      </c>
      <c r="F565" s="8"/>
      <c r="G565" s="8">
        <f t="shared" si="63"/>
        <v>2.6</v>
      </c>
      <c r="H565" s="34">
        <f t="shared" si="61"/>
        <v>1.4300000000000002</v>
      </c>
      <c r="I565" s="10"/>
      <c r="J565" s="124" t="s">
        <v>127</v>
      </c>
      <c r="K565" s="19"/>
    </row>
    <row r="566" spans="2:11">
      <c r="B566" s="4"/>
      <c r="C566" s="30"/>
      <c r="D566" s="7"/>
      <c r="E566" s="8"/>
      <c r="F566" s="8"/>
      <c r="G566" s="8"/>
      <c r="H566" s="34"/>
      <c r="I566" s="10"/>
      <c r="J566" s="124"/>
      <c r="K566" s="19"/>
    </row>
    <row r="567" spans="2:11">
      <c r="B567" s="4"/>
      <c r="C567" s="30"/>
      <c r="D567" s="7"/>
      <c r="E567" s="8"/>
      <c r="F567" s="8"/>
      <c r="G567" s="8"/>
      <c r="H567" s="34"/>
      <c r="I567" s="10"/>
      <c r="J567" s="124"/>
      <c r="K567" s="19"/>
    </row>
    <row r="568" spans="2:11">
      <c r="B568" s="4"/>
      <c r="C568" s="30" t="s">
        <v>485</v>
      </c>
      <c r="D568" s="7"/>
      <c r="E568" s="8"/>
      <c r="F568" s="8"/>
      <c r="G568" s="8"/>
      <c r="H568" s="34"/>
      <c r="I568" s="10"/>
      <c r="J568" s="124"/>
      <c r="K568" s="19"/>
    </row>
    <row r="569" spans="2:11">
      <c r="B569" s="4"/>
      <c r="C569" s="30" t="s">
        <v>479</v>
      </c>
      <c r="D569" s="7">
        <v>4</v>
      </c>
      <c r="E569" s="8">
        <f>0.15+0.15</f>
        <v>0.3</v>
      </c>
      <c r="F569" s="8"/>
      <c r="G569" s="8">
        <v>1.7</v>
      </c>
      <c r="H569" s="34">
        <f t="shared" ref="H569:H570" si="64">PRODUCT(D569:G569)</f>
        <v>2.04</v>
      </c>
      <c r="I569" s="10"/>
      <c r="J569" s="124"/>
      <c r="K569" s="19"/>
    </row>
    <row r="570" spans="2:11">
      <c r="B570" s="4"/>
      <c r="C570" s="30" t="s">
        <v>479</v>
      </c>
      <c r="D570" s="7">
        <v>4</v>
      </c>
      <c r="E570" s="8">
        <f>0.15+0.15</f>
        <v>0.3</v>
      </c>
      <c r="F570" s="8"/>
      <c r="G570" s="8">
        <v>1.7</v>
      </c>
      <c r="H570" s="34">
        <f t="shared" si="64"/>
        <v>2.04</v>
      </c>
      <c r="I570" s="10"/>
      <c r="J570" s="124"/>
      <c r="K570" s="19"/>
    </row>
    <row r="571" spans="2:11">
      <c r="B571" s="4"/>
      <c r="C571" s="30"/>
      <c r="D571" s="7"/>
      <c r="E571" s="8"/>
      <c r="F571" s="8"/>
      <c r="G571" s="8"/>
      <c r="H571" s="34"/>
      <c r="I571" s="10"/>
      <c r="J571" s="124"/>
      <c r="K571" s="19"/>
    </row>
    <row r="572" spans="2:11">
      <c r="B572" s="4"/>
      <c r="C572" s="30"/>
      <c r="D572" s="7"/>
      <c r="E572" s="8"/>
      <c r="F572" s="8"/>
      <c r="G572" s="8"/>
      <c r="H572" s="34"/>
      <c r="I572" s="10"/>
      <c r="J572" s="18"/>
      <c r="K572" s="19"/>
    </row>
    <row r="573" spans="2:11">
      <c r="B573" s="4"/>
      <c r="C573" s="21"/>
      <c r="D573" s="7"/>
      <c r="E573" s="8"/>
      <c r="F573" s="8"/>
      <c r="G573" s="8"/>
      <c r="H573" s="9"/>
      <c r="I573" s="10"/>
      <c r="J573" s="18"/>
      <c r="K573" s="19"/>
    </row>
    <row r="574" spans="2:11">
      <c r="B574" s="4">
        <v>14</v>
      </c>
      <c r="C574" s="194" t="s">
        <v>51</v>
      </c>
      <c r="D574" s="195"/>
      <c r="E574" s="195"/>
      <c r="F574" s="195"/>
      <c r="G574" s="195"/>
      <c r="H574" s="195"/>
      <c r="I574" s="5"/>
      <c r="J574" s="5"/>
      <c r="K574" s="5"/>
    </row>
    <row r="575" spans="2:11">
      <c r="B575" s="4"/>
      <c r="C575" s="191" t="s">
        <v>22</v>
      </c>
      <c r="D575" s="191"/>
      <c r="E575" s="191"/>
      <c r="F575" s="191"/>
      <c r="G575" s="191"/>
      <c r="H575" s="192"/>
      <c r="I575" s="11">
        <f>SUM(H576:H621)</f>
        <v>9.3214499999999987</v>
      </c>
      <c r="J575" s="18" t="s">
        <v>21</v>
      </c>
      <c r="K575" s="19"/>
    </row>
    <row r="576" spans="2:11">
      <c r="B576" s="4"/>
      <c r="C576" s="21"/>
      <c r="D576" s="7"/>
      <c r="E576" s="8"/>
      <c r="F576" s="8"/>
      <c r="G576" s="8"/>
      <c r="H576" s="9"/>
      <c r="I576" s="10"/>
      <c r="J576" s="18"/>
      <c r="K576" s="19"/>
    </row>
    <row r="577" spans="2:11">
      <c r="B577" s="4"/>
      <c r="C577" s="21" t="s">
        <v>132</v>
      </c>
      <c r="D577" s="7"/>
      <c r="E577" s="8"/>
      <c r="F577" s="8"/>
      <c r="G577" s="8"/>
      <c r="H577" s="9"/>
      <c r="I577" s="10"/>
      <c r="J577" s="18"/>
      <c r="K577" s="19"/>
    </row>
    <row r="578" spans="2:11">
      <c r="B578" s="4"/>
      <c r="C578" s="6" t="s">
        <v>435</v>
      </c>
      <c r="D578" s="7">
        <v>1</v>
      </c>
      <c r="E578" s="8">
        <v>4.1500000000000004</v>
      </c>
      <c r="F578" s="8">
        <v>0.25</v>
      </c>
      <c r="G578" s="8">
        <v>0.2</v>
      </c>
      <c r="H578" s="9">
        <f>PRODUCT(D578:G578)</f>
        <v>0.20750000000000002</v>
      </c>
      <c r="I578" s="36" t="s">
        <v>486</v>
      </c>
      <c r="J578" s="18" t="s">
        <v>487</v>
      </c>
      <c r="K578" s="19" t="s">
        <v>488</v>
      </c>
    </row>
    <row r="579" spans="2:11">
      <c r="B579" s="4"/>
      <c r="C579" s="6"/>
      <c r="D579" s="7">
        <v>1</v>
      </c>
      <c r="E579" s="8">
        <v>4.05</v>
      </c>
      <c r="F579" s="8">
        <v>0.25</v>
      </c>
      <c r="G579" s="8">
        <v>0.2</v>
      </c>
      <c r="H579" s="9">
        <f t="shared" ref="H579:H588" si="65">PRODUCT(D579:G579)</f>
        <v>0.20250000000000001</v>
      </c>
      <c r="I579" s="36" t="s">
        <v>486</v>
      </c>
      <c r="J579" s="18" t="s">
        <v>489</v>
      </c>
      <c r="K579" s="19"/>
    </row>
    <row r="580" spans="2:11">
      <c r="B580" s="4"/>
      <c r="C580" s="6" t="s">
        <v>93</v>
      </c>
      <c r="D580" s="7">
        <v>1</v>
      </c>
      <c r="E580" s="8">
        <v>4.0999999999999996</v>
      </c>
      <c r="F580" s="8">
        <v>0.25</v>
      </c>
      <c r="G580" s="8">
        <v>0.4</v>
      </c>
      <c r="H580" s="9">
        <f t="shared" si="65"/>
        <v>0.41</v>
      </c>
      <c r="I580" s="36" t="s">
        <v>490</v>
      </c>
      <c r="J580" s="18" t="s">
        <v>487</v>
      </c>
      <c r="K580" s="19"/>
    </row>
    <row r="581" spans="2:11">
      <c r="B581" s="4"/>
      <c r="C581" s="6"/>
      <c r="D581" s="7">
        <v>1</v>
      </c>
      <c r="E581" s="8">
        <v>4.05</v>
      </c>
      <c r="F581" s="8">
        <v>0.25</v>
      </c>
      <c r="G581" s="8">
        <v>0.4</v>
      </c>
      <c r="H581" s="9">
        <f t="shared" si="65"/>
        <v>0.40500000000000003</v>
      </c>
      <c r="I581" s="36" t="s">
        <v>490</v>
      </c>
      <c r="J581" s="18" t="s">
        <v>489</v>
      </c>
      <c r="K581" s="19"/>
    </row>
    <row r="582" spans="2:11">
      <c r="B582" s="4"/>
      <c r="C582" s="6" t="s">
        <v>92</v>
      </c>
      <c r="D582" s="7">
        <v>1</v>
      </c>
      <c r="E582" s="8">
        <v>4.1500000000000004</v>
      </c>
      <c r="F582" s="8">
        <v>0.25</v>
      </c>
      <c r="G582" s="8">
        <v>0.2</v>
      </c>
      <c r="H582" s="9">
        <f t="shared" si="65"/>
        <v>0.20750000000000002</v>
      </c>
      <c r="I582" s="36" t="s">
        <v>486</v>
      </c>
      <c r="J582" s="18" t="s">
        <v>487</v>
      </c>
      <c r="K582" s="19"/>
    </row>
    <row r="583" spans="2:11">
      <c r="B583" s="4"/>
      <c r="D583" s="7">
        <v>1</v>
      </c>
      <c r="E583" s="8">
        <v>4.05</v>
      </c>
      <c r="F583" s="8">
        <v>0.25</v>
      </c>
      <c r="G583" s="8">
        <v>0.2</v>
      </c>
      <c r="H583" s="9">
        <f t="shared" si="65"/>
        <v>0.20250000000000001</v>
      </c>
      <c r="I583" s="36" t="s">
        <v>486</v>
      </c>
      <c r="J583" s="18" t="s">
        <v>489</v>
      </c>
      <c r="K583" s="19"/>
    </row>
    <row r="584" spans="2:11">
      <c r="B584" s="4"/>
      <c r="C584" s="6" t="s">
        <v>447</v>
      </c>
      <c r="D584" s="7">
        <v>1</v>
      </c>
      <c r="E584" s="8">
        <v>2.5099999999999998</v>
      </c>
      <c r="F584" s="8">
        <v>0.25</v>
      </c>
      <c r="G584" s="8">
        <v>0.2</v>
      </c>
      <c r="H584" s="9">
        <f t="shared" si="65"/>
        <v>0.1255</v>
      </c>
      <c r="I584" s="36" t="s">
        <v>486</v>
      </c>
      <c r="J584" s="18" t="s">
        <v>79</v>
      </c>
      <c r="K584" s="19" t="s">
        <v>491</v>
      </c>
    </row>
    <row r="585" spans="2:11">
      <c r="B585" s="4"/>
      <c r="C585" s="6"/>
      <c r="D585" s="7">
        <v>1</v>
      </c>
      <c r="E585" s="8">
        <v>4.46</v>
      </c>
      <c r="F585" s="8">
        <v>0.25</v>
      </c>
      <c r="G585" s="8">
        <v>0.2</v>
      </c>
      <c r="H585" s="9">
        <f t="shared" si="65"/>
        <v>0.223</v>
      </c>
      <c r="I585" s="36" t="s">
        <v>486</v>
      </c>
      <c r="J585" s="18" t="s">
        <v>448</v>
      </c>
      <c r="K585" s="19"/>
    </row>
    <row r="586" spans="2:11">
      <c r="B586" s="4"/>
      <c r="C586" s="6" t="s">
        <v>492</v>
      </c>
      <c r="D586" s="7">
        <v>1</v>
      </c>
      <c r="E586" s="8">
        <v>7.21</v>
      </c>
      <c r="F586" s="8">
        <v>0.25</v>
      </c>
      <c r="G586" s="8">
        <v>0.7</v>
      </c>
      <c r="H586" s="9">
        <f t="shared" si="65"/>
        <v>1.2617499999999999</v>
      </c>
      <c r="I586" s="36" t="s">
        <v>493</v>
      </c>
      <c r="J586" s="18" t="s">
        <v>494</v>
      </c>
      <c r="K586" s="19"/>
    </row>
    <row r="587" spans="2:11">
      <c r="B587" s="4"/>
      <c r="C587" s="6" t="s">
        <v>82</v>
      </c>
      <c r="D587" s="7">
        <v>1</v>
      </c>
      <c r="E587" s="8">
        <v>2.5099999999999998</v>
      </c>
      <c r="F587" s="8">
        <v>0.25</v>
      </c>
      <c r="G587" s="8">
        <v>0.2</v>
      </c>
      <c r="H587" s="9">
        <f t="shared" si="65"/>
        <v>0.1255</v>
      </c>
      <c r="I587" s="36" t="s">
        <v>486</v>
      </c>
      <c r="J587" s="18" t="s">
        <v>79</v>
      </c>
      <c r="K587" s="19"/>
    </row>
    <row r="588" spans="2:11">
      <c r="B588" s="4"/>
      <c r="C588" s="6"/>
      <c r="D588" s="7">
        <v>1</v>
      </c>
      <c r="E588" s="8">
        <v>4.46</v>
      </c>
      <c r="F588" s="8">
        <v>0.25</v>
      </c>
      <c r="G588" s="8">
        <v>0.2</v>
      </c>
      <c r="H588" s="9">
        <f t="shared" si="65"/>
        <v>0.223</v>
      </c>
      <c r="I588" s="36" t="s">
        <v>486</v>
      </c>
      <c r="J588" s="18" t="s">
        <v>448</v>
      </c>
      <c r="K588" s="19"/>
    </row>
    <row r="589" spans="2:11">
      <c r="B589" s="4"/>
      <c r="C589" s="6"/>
      <c r="D589" s="7"/>
      <c r="E589" s="8"/>
      <c r="F589" s="8"/>
      <c r="G589" s="8"/>
      <c r="H589" s="9"/>
      <c r="I589" s="36"/>
      <c r="J589" s="18"/>
      <c r="K589" s="19"/>
    </row>
    <row r="590" spans="2:11">
      <c r="B590" s="4"/>
      <c r="C590" s="6" t="s">
        <v>495</v>
      </c>
      <c r="D590" s="7">
        <v>1</v>
      </c>
      <c r="E590" s="8">
        <v>3.35</v>
      </c>
      <c r="F590" s="8">
        <v>0.25</v>
      </c>
      <c r="G590" s="8">
        <v>0.2</v>
      </c>
      <c r="H590" s="9">
        <f t="shared" ref="H590:H597" si="66">PRODUCT(D590:G590)</f>
        <v>0.16750000000000001</v>
      </c>
      <c r="I590" s="36" t="s">
        <v>486</v>
      </c>
      <c r="J590" s="18" t="s">
        <v>438</v>
      </c>
      <c r="K590" s="19" t="s">
        <v>496</v>
      </c>
    </row>
    <row r="591" spans="2:11">
      <c r="B591" s="4"/>
      <c r="C591" s="6"/>
      <c r="D591" s="7">
        <v>1</v>
      </c>
      <c r="E591" s="8">
        <v>2.9</v>
      </c>
      <c r="F591" s="8">
        <v>0.25</v>
      </c>
      <c r="G591" s="8">
        <v>0.2</v>
      </c>
      <c r="H591" s="9">
        <f t="shared" si="66"/>
        <v>0.14499999999999999</v>
      </c>
      <c r="I591" s="36" t="s">
        <v>486</v>
      </c>
      <c r="J591" s="18" t="s">
        <v>439</v>
      </c>
      <c r="K591" s="19"/>
    </row>
    <row r="592" spans="2:11">
      <c r="B592" s="4"/>
      <c r="C592" s="6" t="s">
        <v>497</v>
      </c>
      <c r="D592" s="7">
        <v>1</v>
      </c>
      <c r="E592" s="8">
        <v>2.9</v>
      </c>
      <c r="F592" s="8">
        <v>0.25</v>
      </c>
      <c r="G592" s="8">
        <v>0.2</v>
      </c>
      <c r="H592" s="9">
        <f t="shared" si="66"/>
        <v>0.14499999999999999</v>
      </c>
      <c r="I592" s="36" t="s">
        <v>486</v>
      </c>
      <c r="J592" s="18" t="s">
        <v>439</v>
      </c>
      <c r="K592" s="19"/>
    </row>
    <row r="593" spans="2:11">
      <c r="B593" s="4"/>
      <c r="C593" s="6"/>
      <c r="D593" s="7">
        <v>1</v>
      </c>
      <c r="E593" s="8">
        <v>2.9</v>
      </c>
      <c r="F593" s="8">
        <v>0.25</v>
      </c>
      <c r="G593" s="8">
        <v>0.2</v>
      </c>
      <c r="H593" s="9">
        <f t="shared" si="66"/>
        <v>0.14499999999999999</v>
      </c>
      <c r="I593" s="36" t="s">
        <v>486</v>
      </c>
      <c r="J593" s="18" t="s">
        <v>439</v>
      </c>
      <c r="K593" s="19"/>
    </row>
    <row r="594" spans="2:11">
      <c r="B594" s="4"/>
      <c r="C594" s="6" t="s">
        <v>93</v>
      </c>
      <c r="D594" s="7">
        <v>1</v>
      </c>
      <c r="E594" s="8">
        <v>3.25</v>
      </c>
      <c r="F594" s="8">
        <v>0.25</v>
      </c>
      <c r="G594" s="8">
        <v>0.4</v>
      </c>
      <c r="H594" s="9">
        <f t="shared" si="66"/>
        <v>0.32500000000000001</v>
      </c>
      <c r="I594" s="36" t="s">
        <v>490</v>
      </c>
      <c r="J594" s="18" t="s">
        <v>438</v>
      </c>
      <c r="K594" s="19"/>
    </row>
    <row r="595" spans="2:11">
      <c r="B595" s="4"/>
      <c r="C595" s="6"/>
      <c r="D595" s="7">
        <v>1</v>
      </c>
      <c r="E595" s="8">
        <v>2.85</v>
      </c>
      <c r="F595" s="8">
        <v>0.25</v>
      </c>
      <c r="G595" s="8">
        <v>0.4</v>
      </c>
      <c r="H595" s="9">
        <f t="shared" si="66"/>
        <v>0.28500000000000003</v>
      </c>
      <c r="I595" s="36" t="s">
        <v>490</v>
      </c>
      <c r="J595" s="18" t="s">
        <v>439</v>
      </c>
      <c r="K595" s="19"/>
    </row>
    <row r="596" spans="2:11">
      <c r="B596" s="4"/>
      <c r="C596" s="6"/>
      <c r="D596" s="7">
        <v>1</v>
      </c>
      <c r="E596" s="8">
        <v>2.52</v>
      </c>
      <c r="F596" s="8">
        <v>0.15</v>
      </c>
      <c r="G596" s="8">
        <v>0.2</v>
      </c>
      <c r="H596" s="9">
        <f t="shared" si="66"/>
        <v>7.5600000000000001E-2</v>
      </c>
      <c r="I596" s="36" t="s">
        <v>498</v>
      </c>
      <c r="J596" s="18" t="s">
        <v>146</v>
      </c>
      <c r="K596" s="19"/>
    </row>
    <row r="597" spans="2:11">
      <c r="B597" s="4"/>
      <c r="C597" s="6" t="s">
        <v>92</v>
      </c>
      <c r="D597" s="7">
        <v>1</v>
      </c>
      <c r="E597" s="8">
        <v>3.35</v>
      </c>
      <c r="F597" s="8">
        <v>0.25</v>
      </c>
      <c r="G597" s="8">
        <v>0.2</v>
      </c>
      <c r="H597" s="9">
        <f t="shared" si="66"/>
        <v>0.16750000000000001</v>
      </c>
      <c r="I597" s="36" t="s">
        <v>486</v>
      </c>
      <c r="J597" s="18" t="s">
        <v>438</v>
      </c>
      <c r="K597" s="19"/>
    </row>
    <row r="598" spans="2:11">
      <c r="B598" s="4"/>
      <c r="C598" s="6"/>
      <c r="D598" s="7">
        <v>1</v>
      </c>
      <c r="E598" s="8">
        <v>2.9</v>
      </c>
      <c r="F598" s="8">
        <v>0.25</v>
      </c>
      <c r="G598" s="8">
        <v>0.4</v>
      </c>
      <c r="H598" s="9">
        <f>PRODUCT(D598:G598)</f>
        <v>0.28999999999999998</v>
      </c>
      <c r="I598" s="36" t="s">
        <v>499</v>
      </c>
      <c r="J598" s="18" t="s">
        <v>439</v>
      </c>
      <c r="K598" s="19"/>
    </row>
    <row r="599" spans="2:11">
      <c r="B599" s="4"/>
      <c r="C599" s="6"/>
      <c r="D599" s="7">
        <v>1</v>
      </c>
      <c r="E599" s="8">
        <v>2.52</v>
      </c>
      <c r="F599" s="8">
        <v>0.15</v>
      </c>
      <c r="G599" s="8">
        <v>0.2</v>
      </c>
      <c r="H599" s="9">
        <f t="shared" ref="H599" si="67">PRODUCT(D599:G599)</f>
        <v>7.5600000000000001E-2</v>
      </c>
      <c r="I599" s="36" t="s">
        <v>498</v>
      </c>
      <c r="J599" s="18" t="s">
        <v>146</v>
      </c>
      <c r="K599" s="19"/>
    </row>
    <row r="600" spans="2:11">
      <c r="B600" s="4"/>
      <c r="C600" s="6" t="s">
        <v>91</v>
      </c>
      <c r="D600" s="7">
        <v>1</v>
      </c>
      <c r="E600" s="8">
        <v>2.9</v>
      </c>
      <c r="F600" s="8">
        <v>0.25</v>
      </c>
      <c r="G600" s="8">
        <v>0.2</v>
      </c>
      <c r="H600" s="9">
        <f>PRODUCT(D600:G600)</f>
        <v>0.14499999999999999</v>
      </c>
      <c r="I600" s="36" t="s">
        <v>500</v>
      </c>
      <c r="J600" s="18" t="s">
        <v>446</v>
      </c>
      <c r="K600" s="19"/>
    </row>
    <row r="601" spans="2:11">
      <c r="B601" s="4"/>
      <c r="C601" s="6" t="s">
        <v>90</v>
      </c>
      <c r="D601" s="7">
        <v>1</v>
      </c>
      <c r="E601" s="8">
        <v>5.05</v>
      </c>
      <c r="F601" s="8">
        <v>0.25</v>
      </c>
      <c r="G601" s="8">
        <v>0.4</v>
      </c>
      <c r="H601" s="9">
        <f t="shared" ref="H601:H613" si="68">PRODUCT(D601:G601)</f>
        <v>0.505</v>
      </c>
      <c r="I601" s="36" t="s">
        <v>501</v>
      </c>
      <c r="J601" s="18" t="s">
        <v>502</v>
      </c>
      <c r="K601" s="19"/>
    </row>
    <row r="602" spans="2:11">
      <c r="B602" s="4"/>
      <c r="C602" s="6"/>
      <c r="D602" s="7">
        <v>1</v>
      </c>
      <c r="E602" s="8">
        <v>3.95</v>
      </c>
      <c r="F602" s="8">
        <v>0.25</v>
      </c>
      <c r="G602" s="8">
        <v>0.4</v>
      </c>
      <c r="H602" s="9">
        <f t="shared" si="68"/>
        <v>0.39500000000000002</v>
      </c>
      <c r="I602" s="36" t="s">
        <v>501</v>
      </c>
      <c r="J602" s="18" t="s">
        <v>444</v>
      </c>
      <c r="K602" s="19"/>
    </row>
    <row r="603" spans="2:11">
      <c r="B603" s="4"/>
      <c r="C603" s="6"/>
      <c r="D603" s="7">
        <v>1</v>
      </c>
      <c r="E603" s="8">
        <v>2.2999999999999998</v>
      </c>
      <c r="F603" s="8">
        <v>0.25</v>
      </c>
      <c r="G603" s="8">
        <v>0.4</v>
      </c>
      <c r="H603" s="9">
        <f t="shared" si="68"/>
        <v>0.22999999999999998</v>
      </c>
      <c r="I603" s="36" t="s">
        <v>501</v>
      </c>
      <c r="J603" s="18" t="s">
        <v>445</v>
      </c>
      <c r="K603" s="19"/>
    </row>
    <row r="604" spans="2:11">
      <c r="B604" s="4"/>
      <c r="C604" s="6" t="s">
        <v>89</v>
      </c>
      <c r="D604" s="7">
        <v>1</v>
      </c>
      <c r="E604" s="8">
        <v>2.9</v>
      </c>
      <c r="F604" s="8">
        <v>0.25</v>
      </c>
      <c r="G604" s="8">
        <v>0.2</v>
      </c>
      <c r="H604" s="9">
        <f t="shared" si="68"/>
        <v>0.14499999999999999</v>
      </c>
      <c r="I604" s="36" t="s">
        <v>500</v>
      </c>
      <c r="J604" s="18" t="s">
        <v>446</v>
      </c>
      <c r="K604" s="19"/>
    </row>
    <row r="605" spans="2:11">
      <c r="B605" s="4"/>
      <c r="C605" s="6"/>
      <c r="D605" s="7">
        <v>1</v>
      </c>
      <c r="E605" s="8">
        <v>1.9</v>
      </c>
      <c r="F605" s="8">
        <v>0.25</v>
      </c>
      <c r="G605" s="8">
        <v>0.2</v>
      </c>
      <c r="H605" s="9">
        <f t="shared" si="68"/>
        <v>9.5000000000000001E-2</v>
      </c>
      <c r="I605" s="36" t="s">
        <v>500</v>
      </c>
      <c r="J605" s="18" t="s">
        <v>443</v>
      </c>
      <c r="K605" s="19"/>
    </row>
    <row r="606" spans="2:11">
      <c r="B606" s="4"/>
      <c r="C606" s="6"/>
      <c r="D606" s="7">
        <v>1</v>
      </c>
      <c r="E606" s="8">
        <v>3.95</v>
      </c>
      <c r="F606" s="8">
        <v>0.25</v>
      </c>
      <c r="G606" s="8">
        <v>0.2</v>
      </c>
      <c r="H606" s="9">
        <f t="shared" si="68"/>
        <v>0.19750000000000001</v>
      </c>
      <c r="I606" s="36" t="s">
        <v>500</v>
      </c>
      <c r="J606" s="18" t="s">
        <v>444</v>
      </c>
      <c r="K606" s="19"/>
    </row>
    <row r="607" spans="2:11">
      <c r="B607" s="4"/>
      <c r="C607" s="6" t="s">
        <v>503</v>
      </c>
      <c r="D607" s="7">
        <v>1</v>
      </c>
      <c r="E607" s="8">
        <v>3.95</v>
      </c>
      <c r="F607" s="8">
        <v>0.25</v>
      </c>
      <c r="G607" s="8">
        <v>0.2</v>
      </c>
      <c r="H607" s="9">
        <f t="shared" si="68"/>
        <v>0.19750000000000001</v>
      </c>
      <c r="I607" s="36" t="s">
        <v>500</v>
      </c>
      <c r="J607" s="18" t="s">
        <v>444</v>
      </c>
      <c r="K607" s="19"/>
    </row>
    <row r="608" spans="2:11">
      <c r="B608" s="4"/>
      <c r="C608" s="6"/>
      <c r="D608" s="7">
        <v>1</v>
      </c>
      <c r="E608" s="8">
        <v>2.2999999999999998</v>
      </c>
      <c r="F608" s="8">
        <v>0.25</v>
      </c>
      <c r="G608" s="8">
        <v>0.2</v>
      </c>
      <c r="H608" s="9">
        <f t="shared" si="68"/>
        <v>0.11499999999999999</v>
      </c>
      <c r="I608" s="36" t="s">
        <v>500</v>
      </c>
      <c r="J608" s="18" t="s">
        <v>445</v>
      </c>
      <c r="K608" s="19"/>
    </row>
    <row r="609" spans="2:11">
      <c r="B609" s="4"/>
      <c r="C609" s="6" t="s">
        <v>449</v>
      </c>
      <c r="D609" s="7">
        <v>1</v>
      </c>
      <c r="E609" s="8">
        <v>2.81</v>
      </c>
      <c r="F609" s="8">
        <v>0.25</v>
      </c>
      <c r="G609" s="8">
        <v>0.2</v>
      </c>
      <c r="H609" s="9">
        <f t="shared" si="68"/>
        <v>0.14050000000000001</v>
      </c>
      <c r="I609" s="36" t="s">
        <v>500</v>
      </c>
      <c r="J609" s="18" t="s">
        <v>80</v>
      </c>
      <c r="K609" s="19" t="s">
        <v>491</v>
      </c>
    </row>
    <row r="610" spans="2:11">
      <c r="B610" s="4"/>
      <c r="C610" s="6"/>
      <c r="D610" s="7">
        <v>1</v>
      </c>
      <c r="E610" s="8">
        <v>1.23</v>
      </c>
      <c r="F610" s="8">
        <v>0.25</v>
      </c>
      <c r="G610" s="8">
        <v>0.2</v>
      </c>
      <c r="H610" s="9">
        <f t="shared" si="68"/>
        <v>6.1499999999999999E-2</v>
      </c>
      <c r="I610" s="36" t="s">
        <v>500</v>
      </c>
      <c r="J610" s="18" t="s">
        <v>81</v>
      </c>
      <c r="K610" s="19"/>
    </row>
    <row r="611" spans="2:11">
      <c r="B611" s="4"/>
      <c r="C611" t="s">
        <v>77</v>
      </c>
      <c r="D611" s="7">
        <v>1</v>
      </c>
      <c r="E611" s="8">
        <v>2.81</v>
      </c>
      <c r="F611" s="8">
        <v>0.25</v>
      </c>
      <c r="G611" s="8">
        <v>0.2</v>
      </c>
      <c r="H611" s="9">
        <f t="shared" si="68"/>
        <v>0.14050000000000001</v>
      </c>
      <c r="I611" s="36" t="s">
        <v>500</v>
      </c>
      <c r="J611" s="18" t="s">
        <v>80</v>
      </c>
      <c r="K611" s="19"/>
    </row>
    <row r="612" spans="2:11">
      <c r="B612" s="4"/>
      <c r="C612" s="6"/>
      <c r="D612" s="7">
        <v>1</v>
      </c>
      <c r="E612" s="8">
        <v>1.23</v>
      </c>
      <c r="F612" s="8">
        <v>0.25</v>
      </c>
      <c r="G612" s="8">
        <v>0.2</v>
      </c>
      <c r="H612" s="9">
        <f t="shared" si="68"/>
        <v>6.1499999999999999E-2</v>
      </c>
      <c r="I612" s="36" t="s">
        <v>500</v>
      </c>
      <c r="J612" s="18" t="s">
        <v>81</v>
      </c>
      <c r="K612" s="19"/>
    </row>
    <row r="613" spans="2:11">
      <c r="B613" s="4"/>
      <c r="C613" s="6" t="s">
        <v>82</v>
      </c>
      <c r="D613" s="7">
        <v>1</v>
      </c>
      <c r="E613" s="8">
        <v>2.81</v>
      </c>
      <c r="F613" s="8">
        <v>0.25</v>
      </c>
      <c r="G613" s="8">
        <v>0.2</v>
      </c>
      <c r="H613" s="9">
        <f t="shared" si="68"/>
        <v>0.14050000000000001</v>
      </c>
      <c r="I613" s="36" t="s">
        <v>500</v>
      </c>
      <c r="J613" s="18" t="s">
        <v>80</v>
      </c>
      <c r="K613" s="19"/>
    </row>
    <row r="614" spans="2:11">
      <c r="B614" s="4"/>
      <c r="C614" s="6"/>
      <c r="D614" s="7">
        <v>1</v>
      </c>
      <c r="E614" s="8">
        <v>2.5099999999999998</v>
      </c>
      <c r="F614" s="8">
        <v>0.25</v>
      </c>
      <c r="G614" s="8">
        <v>0.2</v>
      </c>
      <c r="H614" s="9">
        <f>PRODUCT(D614:G614)</f>
        <v>0.1255</v>
      </c>
      <c r="I614" s="36" t="s">
        <v>486</v>
      </c>
      <c r="J614" s="18" t="s">
        <v>79</v>
      </c>
      <c r="K614" s="19"/>
    </row>
    <row r="615" spans="2:11">
      <c r="B615" s="4"/>
      <c r="C615" s="6"/>
      <c r="D615" s="7">
        <v>1</v>
      </c>
      <c r="E615" s="8">
        <v>4.53</v>
      </c>
      <c r="F615" s="8">
        <v>0.25</v>
      </c>
      <c r="G615" s="8">
        <v>0.2</v>
      </c>
      <c r="H615" s="9">
        <f>PRODUCT(D615:G615)</f>
        <v>0.22650000000000003</v>
      </c>
      <c r="I615" s="36" t="s">
        <v>486</v>
      </c>
      <c r="J615" s="18" t="s">
        <v>448</v>
      </c>
      <c r="K615" s="19"/>
    </row>
    <row r="616" spans="2:11">
      <c r="B616" s="4"/>
      <c r="C616" s="6" t="s">
        <v>452</v>
      </c>
      <c r="D616" s="7">
        <v>1</v>
      </c>
      <c r="E616" s="8">
        <v>2.5099999999999998</v>
      </c>
      <c r="F616" s="8">
        <v>0.25</v>
      </c>
      <c r="G616" s="8">
        <v>0.2</v>
      </c>
      <c r="H616" s="9">
        <f>PRODUCT(D616:G616)</f>
        <v>0.1255</v>
      </c>
      <c r="I616" s="36" t="s">
        <v>486</v>
      </c>
      <c r="J616" s="18" t="s">
        <v>79</v>
      </c>
      <c r="K616" s="19"/>
    </row>
    <row r="617" spans="2:11">
      <c r="B617" s="4"/>
      <c r="C617" s="30"/>
      <c r="D617" s="7">
        <v>1</v>
      </c>
      <c r="E617" s="8">
        <v>4.53</v>
      </c>
      <c r="F617" s="8">
        <v>0.25</v>
      </c>
      <c r="G617" s="8">
        <v>0.2</v>
      </c>
      <c r="H617" s="9">
        <f t="shared" ref="H617:H619" si="69">PRODUCT(D617:G617)</f>
        <v>0.22650000000000003</v>
      </c>
      <c r="I617" s="36" t="s">
        <v>486</v>
      </c>
      <c r="J617" s="18" t="s">
        <v>448</v>
      </c>
      <c r="K617" s="19"/>
    </row>
    <row r="618" spans="2:11">
      <c r="B618" s="4"/>
      <c r="C618" s="125" t="s">
        <v>87</v>
      </c>
      <c r="D618" s="7">
        <v>1</v>
      </c>
      <c r="E618" s="8">
        <v>2.81</v>
      </c>
      <c r="F618" s="8">
        <v>0.25</v>
      </c>
      <c r="G618" s="8">
        <v>0.2</v>
      </c>
      <c r="H618" s="9">
        <f t="shared" si="69"/>
        <v>0.14050000000000001</v>
      </c>
      <c r="I618" s="36" t="s">
        <v>500</v>
      </c>
      <c r="J618" s="18" t="s">
        <v>80</v>
      </c>
      <c r="K618" s="19"/>
    </row>
    <row r="619" spans="2:11">
      <c r="B619" s="4"/>
      <c r="C619" s="125" t="s">
        <v>88</v>
      </c>
      <c r="D619" s="7">
        <v>1</v>
      </c>
      <c r="E619" s="8">
        <v>2.81</v>
      </c>
      <c r="F619" s="8">
        <v>0.25</v>
      </c>
      <c r="G619" s="8">
        <v>0.2</v>
      </c>
      <c r="H619" s="9">
        <f t="shared" si="69"/>
        <v>0.14050000000000001</v>
      </c>
      <c r="I619" s="36" t="s">
        <v>500</v>
      </c>
      <c r="J619" s="18" t="s">
        <v>80</v>
      </c>
      <c r="K619" s="19"/>
    </row>
    <row r="620" spans="2:11">
      <c r="B620" s="4"/>
      <c r="C620" s="39"/>
      <c r="D620" s="7">
        <v>1</v>
      </c>
      <c r="E620" s="8">
        <v>2.5099999999999998</v>
      </c>
      <c r="F620" s="8">
        <v>0.25</v>
      </c>
      <c r="G620" s="8">
        <v>0.2</v>
      </c>
      <c r="H620" s="9">
        <f>PRODUCT(D620:G620)</f>
        <v>0.1255</v>
      </c>
      <c r="I620" s="36" t="s">
        <v>486</v>
      </c>
      <c r="J620" s="18" t="s">
        <v>79</v>
      </c>
      <c r="K620" s="19"/>
    </row>
    <row r="621" spans="2:11">
      <c r="B621" s="4"/>
      <c r="C621" s="39"/>
      <c r="D621" s="7">
        <v>1</v>
      </c>
      <c r="E621" s="8">
        <v>4.53</v>
      </c>
      <c r="F621" s="8">
        <v>0.25</v>
      </c>
      <c r="G621" s="8">
        <v>0.2</v>
      </c>
      <c r="H621" s="9">
        <f t="shared" ref="H621" si="70">PRODUCT(D621:G621)</f>
        <v>0.22650000000000003</v>
      </c>
      <c r="I621" s="36" t="s">
        <v>486</v>
      </c>
      <c r="J621" s="18" t="s">
        <v>448</v>
      </c>
      <c r="K621" s="19"/>
    </row>
    <row r="622" spans="2:11">
      <c r="B622" s="4"/>
      <c r="C622" s="39"/>
      <c r="D622" s="7"/>
      <c r="E622" s="8"/>
      <c r="F622" s="8"/>
      <c r="G622" s="8"/>
      <c r="H622" s="9"/>
      <c r="I622" s="36"/>
      <c r="J622" s="18"/>
      <c r="K622" s="19"/>
    </row>
    <row r="623" spans="2:11">
      <c r="B623" s="4"/>
      <c r="C623" s="125" t="s">
        <v>504</v>
      </c>
      <c r="D623" s="7">
        <v>2</v>
      </c>
      <c r="E623" s="8">
        <v>1.2</v>
      </c>
      <c r="F623" s="8">
        <v>0.15</v>
      </c>
      <c r="G623" s="8">
        <v>0.2</v>
      </c>
      <c r="H623" s="9">
        <f t="shared" ref="H623:H627" si="71">PRODUCT(D623:G623)</f>
        <v>7.1999999999999995E-2</v>
      </c>
      <c r="I623" s="36" t="s">
        <v>498</v>
      </c>
      <c r="J623" s="18"/>
      <c r="K623" s="19"/>
    </row>
    <row r="624" spans="2:11">
      <c r="B624" s="4"/>
      <c r="C624" s="125"/>
      <c r="D624" s="7">
        <v>2</v>
      </c>
      <c r="E624" s="8">
        <v>1.2</v>
      </c>
      <c r="F624" s="8">
        <v>0.15</v>
      </c>
      <c r="G624" s="8">
        <v>0.2</v>
      </c>
      <c r="H624" s="9">
        <f t="shared" si="71"/>
        <v>7.1999999999999995E-2</v>
      </c>
      <c r="I624" s="36" t="s">
        <v>498</v>
      </c>
      <c r="J624" s="18"/>
      <c r="K624" s="19"/>
    </row>
    <row r="625" spans="2:11">
      <c r="B625" s="4"/>
      <c r="C625" s="125"/>
      <c r="D625" s="7"/>
      <c r="E625" s="8"/>
      <c r="F625" s="8"/>
      <c r="G625" s="8"/>
      <c r="H625" s="9"/>
      <c r="I625" s="36"/>
      <c r="J625" s="18"/>
      <c r="K625" s="19"/>
    </row>
    <row r="626" spans="2:11">
      <c r="B626" s="4"/>
      <c r="C626" s="125"/>
      <c r="D626" s="7">
        <v>2</v>
      </c>
      <c r="E626" s="8">
        <v>1.2</v>
      </c>
      <c r="F626" s="8">
        <v>0.15</v>
      </c>
      <c r="G626" s="8">
        <v>0.2</v>
      </c>
      <c r="H626" s="9">
        <f t="shared" si="71"/>
        <v>7.1999999999999995E-2</v>
      </c>
      <c r="I626" s="36" t="s">
        <v>498</v>
      </c>
      <c r="J626" s="18"/>
      <c r="K626" s="19"/>
    </row>
    <row r="627" spans="2:11">
      <c r="B627" s="4"/>
      <c r="C627" s="125"/>
      <c r="D627" s="7">
        <v>2</v>
      </c>
      <c r="E627" s="8">
        <v>1.2</v>
      </c>
      <c r="F627" s="8">
        <v>0.15</v>
      </c>
      <c r="G627" s="8">
        <v>0.2</v>
      </c>
      <c r="H627" s="9">
        <f t="shared" si="71"/>
        <v>7.1999999999999995E-2</v>
      </c>
      <c r="I627" s="36" t="s">
        <v>498</v>
      </c>
      <c r="J627" s="18"/>
      <c r="K627" s="19"/>
    </row>
    <row r="628" spans="2:11">
      <c r="B628" s="4"/>
      <c r="C628" s="125"/>
      <c r="D628" s="7"/>
      <c r="E628" s="8"/>
      <c r="F628" s="8"/>
      <c r="G628" s="8"/>
      <c r="H628" s="9"/>
      <c r="I628" s="36"/>
      <c r="J628" s="18"/>
      <c r="K628" s="19"/>
    </row>
    <row r="629" spans="2:11">
      <c r="B629" s="4"/>
      <c r="C629" s="125" t="s">
        <v>505</v>
      </c>
      <c r="D629" s="7"/>
      <c r="E629" s="8"/>
      <c r="F629" s="8"/>
      <c r="G629" s="8"/>
      <c r="H629" s="9"/>
      <c r="I629" s="36"/>
      <c r="J629" s="18"/>
      <c r="K629" s="19"/>
    </row>
    <row r="630" spans="2:11">
      <c r="B630" s="4"/>
      <c r="C630" s="125" t="s">
        <v>435</v>
      </c>
      <c r="D630" s="7">
        <v>1</v>
      </c>
      <c r="E630" s="8">
        <v>4.1500000000000004</v>
      </c>
      <c r="F630" s="8">
        <v>0.15</v>
      </c>
      <c r="G630" s="8">
        <v>0.25</v>
      </c>
      <c r="H630" s="9">
        <f>PRODUCT(D630:G630)</f>
        <v>0.15562500000000001</v>
      </c>
      <c r="I630" s="36" t="s">
        <v>506</v>
      </c>
      <c r="J630" s="18" t="s">
        <v>487</v>
      </c>
      <c r="K630" s="19" t="s">
        <v>507</v>
      </c>
    </row>
    <row r="631" spans="2:11">
      <c r="B631" s="4"/>
      <c r="C631" s="125"/>
      <c r="D631" s="7">
        <v>1</v>
      </c>
      <c r="E631" s="8">
        <v>4.05</v>
      </c>
      <c r="F631" s="8">
        <v>0.15</v>
      </c>
      <c r="G631" s="8">
        <v>0.25</v>
      </c>
      <c r="H631" s="9">
        <f t="shared" ref="H631:H645" si="72">PRODUCT(D631:G631)</f>
        <v>0.15187499999999998</v>
      </c>
      <c r="I631" s="36" t="s">
        <v>506</v>
      </c>
      <c r="J631" s="18" t="s">
        <v>489</v>
      </c>
      <c r="K631" s="19"/>
    </row>
    <row r="632" spans="2:11">
      <c r="B632" s="4"/>
      <c r="C632" s="125"/>
      <c r="D632" s="7">
        <v>1</v>
      </c>
      <c r="E632" s="8">
        <v>3.35</v>
      </c>
      <c r="F632" s="8">
        <v>0.15</v>
      </c>
      <c r="G632" s="8">
        <v>0.25</v>
      </c>
      <c r="H632" s="9">
        <f t="shared" si="72"/>
        <v>0.12562499999999999</v>
      </c>
      <c r="I632" s="36" t="s">
        <v>506</v>
      </c>
      <c r="J632" s="18" t="s">
        <v>438</v>
      </c>
      <c r="K632" s="19"/>
    </row>
    <row r="633" spans="2:11">
      <c r="B633" s="4"/>
      <c r="C633" s="125"/>
      <c r="D633" s="7">
        <v>1</v>
      </c>
      <c r="E633" s="8">
        <v>2.9</v>
      </c>
      <c r="F633" s="8">
        <v>0.15</v>
      </c>
      <c r="G633" s="8">
        <v>0.25</v>
      </c>
      <c r="H633" s="9">
        <f t="shared" si="72"/>
        <v>0.10875</v>
      </c>
      <c r="I633" s="36" t="s">
        <v>506</v>
      </c>
      <c r="J633" s="18" t="s">
        <v>439</v>
      </c>
      <c r="K633" s="19"/>
    </row>
    <row r="634" spans="2:11">
      <c r="B634" s="4"/>
      <c r="C634" s="125" t="s">
        <v>92</v>
      </c>
      <c r="D634" s="7">
        <v>1</v>
      </c>
      <c r="E634" s="8">
        <v>4.1500000000000004</v>
      </c>
      <c r="F634" s="8">
        <v>0.15</v>
      </c>
      <c r="G634" s="8">
        <v>0.25</v>
      </c>
      <c r="H634" s="9">
        <f t="shared" si="72"/>
        <v>0.15562500000000001</v>
      </c>
      <c r="I634" s="36" t="s">
        <v>506</v>
      </c>
      <c r="J634" s="18" t="s">
        <v>487</v>
      </c>
      <c r="K634" s="19"/>
    </row>
    <row r="635" spans="2:11">
      <c r="B635" s="4"/>
      <c r="C635" s="125"/>
      <c r="D635" s="7">
        <v>1</v>
      </c>
      <c r="E635" s="8">
        <v>2</v>
      </c>
      <c r="F635" s="8">
        <v>0.15</v>
      </c>
      <c r="G635" s="8">
        <v>0.25</v>
      </c>
      <c r="H635" s="9">
        <f t="shared" si="72"/>
        <v>7.4999999999999997E-2</v>
      </c>
      <c r="I635" s="36" t="s">
        <v>506</v>
      </c>
      <c r="J635" s="18" t="s">
        <v>489</v>
      </c>
      <c r="K635" s="19"/>
    </row>
    <row r="636" spans="2:11">
      <c r="B636" s="4"/>
      <c r="C636" s="125"/>
      <c r="D636" s="7">
        <v>1</v>
      </c>
      <c r="E636" s="8">
        <v>3.35</v>
      </c>
      <c r="F636" s="8">
        <v>0.15</v>
      </c>
      <c r="G636" s="8">
        <v>0.25</v>
      </c>
      <c r="H636" s="9">
        <f t="shared" si="72"/>
        <v>0.12562499999999999</v>
      </c>
      <c r="I636" s="36" t="s">
        <v>506</v>
      </c>
      <c r="J636" s="18" t="s">
        <v>438</v>
      </c>
      <c r="K636" s="19"/>
    </row>
    <row r="637" spans="2:11">
      <c r="B637" s="4"/>
      <c r="C637" s="125" t="s">
        <v>91</v>
      </c>
      <c r="D637" s="7">
        <v>1</v>
      </c>
      <c r="E637" s="8">
        <v>2.9</v>
      </c>
      <c r="F637" s="8">
        <v>0.15</v>
      </c>
      <c r="G637" s="8">
        <v>0.25</v>
      </c>
      <c r="H637" s="9">
        <f t="shared" si="72"/>
        <v>0.10875</v>
      </c>
      <c r="I637" s="36" t="s">
        <v>506</v>
      </c>
      <c r="J637" s="18" t="s">
        <v>446</v>
      </c>
      <c r="K637" s="19"/>
    </row>
    <row r="638" spans="2:11">
      <c r="B638" s="4"/>
      <c r="C638" s="6" t="s">
        <v>89</v>
      </c>
      <c r="D638" s="7">
        <v>1</v>
      </c>
      <c r="E638" s="8">
        <v>2.9</v>
      </c>
      <c r="F638" s="8">
        <v>0.15</v>
      </c>
      <c r="G638" s="8">
        <v>0.25</v>
      </c>
      <c r="H638" s="9">
        <f t="shared" si="72"/>
        <v>0.10875</v>
      </c>
      <c r="I638" s="36" t="s">
        <v>506</v>
      </c>
      <c r="J638" s="18" t="s">
        <v>446</v>
      </c>
      <c r="K638" s="19"/>
    </row>
    <row r="639" spans="2:11">
      <c r="B639" s="4"/>
      <c r="C639" s="6"/>
      <c r="D639" s="7">
        <v>1</v>
      </c>
      <c r="E639" s="8">
        <v>1.9</v>
      </c>
      <c r="F639" s="8">
        <v>0.15</v>
      </c>
      <c r="G639" s="8">
        <v>0.25</v>
      </c>
      <c r="H639" s="9">
        <f t="shared" si="72"/>
        <v>7.1249999999999994E-2</v>
      </c>
      <c r="I639" s="36" t="s">
        <v>506</v>
      </c>
      <c r="J639" s="18" t="s">
        <v>443</v>
      </c>
      <c r="K639" s="19"/>
    </row>
    <row r="640" spans="2:11">
      <c r="B640" s="4"/>
      <c r="C640" s="6"/>
      <c r="D640" s="7">
        <v>1</v>
      </c>
      <c r="E640" s="8">
        <v>3.95</v>
      </c>
      <c r="F640" s="8">
        <v>0.15</v>
      </c>
      <c r="G640" s="8">
        <v>0.25</v>
      </c>
      <c r="H640" s="9">
        <f t="shared" si="72"/>
        <v>0.14812500000000001</v>
      </c>
      <c r="I640" s="36" t="s">
        <v>506</v>
      </c>
      <c r="J640" s="18" t="s">
        <v>444</v>
      </c>
      <c r="K640" s="19"/>
    </row>
    <row r="641" spans="2:11">
      <c r="B641" s="4"/>
      <c r="C641" s="125"/>
      <c r="D641" s="7">
        <v>1</v>
      </c>
      <c r="E641" s="8">
        <v>2.2999999999999998</v>
      </c>
      <c r="F641" s="8">
        <v>0.15</v>
      </c>
      <c r="G641" s="8">
        <v>0.25</v>
      </c>
      <c r="H641" s="9">
        <f t="shared" si="72"/>
        <v>8.6249999999999993E-2</v>
      </c>
      <c r="I641" s="36" t="s">
        <v>506</v>
      </c>
      <c r="J641" s="18" t="s">
        <v>445</v>
      </c>
      <c r="K641" s="19"/>
    </row>
    <row r="642" spans="2:11">
      <c r="B642" s="4"/>
      <c r="C642" s="6" t="s">
        <v>447</v>
      </c>
      <c r="D642" s="7">
        <v>1</v>
      </c>
      <c r="E642" s="8">
        <v>2.5099999999999998</v>
      </c>
      <c r="F642" s="8">
        <v>0.15</v>
      </c>
      <c r="G642" s="8">
        <v>0.25</v>
      </c>
      <c r="H642" s="9">
        <f t="shared" si="72"/>
        <v>9.4124999999999986E-2</v>
      </c>
      <c r="I642" s="36" t="s">
        <v>506</v>
      </c>
      <c r="J642" s="18" t="s">
        <v>79</v>
      </c>
      <c r="K642" s="19" t="s">
        <v>508</v>
      </c>
    </row>
    <row r="643" spans="2:11">
      <c r="B643" s="4"/>
      <c r="C643" s="6"/>
      <c r="D643" s="7">
        <v>1</v>
      </c>
      <c r="E643" s="8">
        <v>4.46</v>
      </c>
      <c r="F643" s="8">
        <v>0.15</v>
      </c>
      <c r="G643" s="8">
        <v>0.25</v>
      </c>
      <c r="H643" s="9">
        <f t="shared" si="72"/>
        <v>0.16724999999999998</v>
      </c>
      <c r="I643" s="36" t="s">
        <v>506</v>
      </c>
      <c r="J643" s="18" t="s">
        <v>448</v>
      </c>
      <c r="K643" s="19"/>
    </row>
    <row r="644" spans="2:11">
      <c r="B644" s="4"/>
      <c r="C644" s="146" t="s">
        <v>77</v>
      </c>
      <c r="D644" s="7">
        <v>1</v>
      </c>
      <c r="E644" s="8">
        <v>2.81</v>
      </c>
      <c r="F644" s="8">
        <v>0.15</v>
      </c>
      <c r="G644" s="8">
        <v>0.25</v>
      </c>
      <c r="H644" s="9">
        <f t="shared" si="72"/>
        <v>0.105375</v>
      </c>
      <c r="I644" s="36" t="s">
        <v>506</v>
      </c>
      <c r="J644" s="18" t="s">
        <v>80</v>
      </c>
      <c r="K644" s="19"/>
    </row>
    <row r="645" spans="2:11">
      <c r="B645" s="4"/>
      <c r="C645" s="6" t="s">
        <v>82</v>
      </c>
      <c r="D645" s="7">
        <v>1</v>
      </c>
      <c r="E645" s="8">
        <v>2.81</v>
      </c>
      <c r="F645" s="8">
        <v>0.15</v>
      </c>
      <c r="G645" s="8">
        <v>0.25</v>
      </c>
      <c r="H645" s="9">
        <f t="shared" si="72"/>
        <v>0.105375</v>
      </c>
      <c r="I645" s="36" t="s">
        <v>506</v>
      </c>
      <c r="J645" s="18" t="s">
        <v>80</v>
      </c>
      <c r="K645" s="19"/>
    </row>
    <row r="646" spans="2:11">
      <c r="B646" s="4"/>
      <c r="C646" s="6"/>
      <c r="D646" s="7">
        <v>1</v>
      </c>
      <c r="E646" s="8">
        <v>2.5099999999999998</v>
      </c>
      <c r="F646" s="8">
        <v>0.15</v>
      </c>
      <c r="G646" s="8">
        <v>0.25</v>
      </c>
      <c r="H646" s="9">
        <f>PRODUCT(D646:G646)</f>
        <v>9.4124999999999986E-2</v>
      </c>
      <c r="I646" s="36" t="s">
        <v>506</v>
      </c>
      <c r="J646" s="18" t="s">
        <v>79</v>
      </c>
      <c r="K646" s="19"/>
    </row>
    <row r="647" spans="2:11">
      <c r="B647" s="4"/>
      <c r="C647" s="6"/>
      <c r="D647" s="7">
        <v>1</v>
      </c>
      <c r="E647" s="8">
        <v>4.53</v>
      </c>
      <c r="F647" s="8">
        <v>0.15</v>
      </c>
      <c r="G647" s="8">
        <v>0.25</v>
      </c>
      <c r="H647" s="9">
        <f>PRODUCT(D647:G647)</f>
        <v>0.169875</v>
      </c>
      <c r="I647" s="36" t="s">
        <v>506</v>
      </c>
      <c r="J647" s="18" t="s">
        <v>448</v>
      </c>
      <c r="K647" s="19"/>
    </row>
    <row r="648" spans="2:11">
      <c r="B648" s="4"/>
      <c r="C648" s="6" t="s">
        <v>452</v>
      </c>
      <c r="D648" s="7">
        <v>1</v>
      </c>
      <c r="E648" s="8">
        <v>2.5099999999999998</v>
      </c>
      <c r="F648" s="8">
        <v>0.15</v>
      </c>
      <c r="G648" s="8">
        <v>0.25</v>
      </c>
      <c r="H648" s="9">
        <f>PRODUCT(D648:G648)</f>
        <v>9.4124999999999986E-2</v>
      </c>
      <c r="I648" s="36" t="s">
        <v>506</v>
      </c>
      <c r="J648" s="18" t="s">
        <v>79</v>
      </c>
      <c r="K648" s="19"/>
    </row>
    <row r="649" spans="2:11">
      <c r="B649" s="4"/>
      <c r="C649" s="147"/>
      <c r="D649" s="7">
        <v>1</v>
      </c>
      <c r="E649" s="8">
        <v>4.53</v>
      </c>
      <c r="F649" s="8">
        <v>0.15</v>
      </c>
      <c r="G649" s="8">
        <v>0.25</v>
      </c>
      <c r="H649" s="9">
        <f t="shared" ref="H649:H652" si="73">PRODUCT(D649:G649)</f>
        <v>0.169875</v>
      </c>
      <c r="I649" s="36" t="s">
        <v>506</v>
      </c>
      <c r="J649" s="18" t="s">
        <v>448</v>
      </c>
      <c r="K649" s="19"/>
    </row>
    <row r="650" spans="2:11">
      <c r="B650" s="4"/>
      <c r="C650" s="125" t="s">
        <v>87</v>
      </c>
      <c r="D650" s="7">
        <v>1</v>
      </c>
      <c r="E650" s="8">
        <v>2.81</v>
      </c>
      <c r="F650" s="8">
        <v>0.15</v>
      </c>
      <c r="G650" s="8">
        <v>0.25</v>
      </c>
      <c r="H650" s="9">
        <f t="shared" si="73"/>
        <v>0.105375</v>
      </c>
      <c r="I650" s="36" t="s">
        <v>506</v>
      </c>
      <c r="J650" s="18" t="s">
        <v>80</v>
      </c>
      <c r="K650" s="19"/>
    </row>
    <row r="651" spans="2:11">
      <c r="B651" s="4"/>
      <c r="C651" s="125" t="s">
        <v>88</v>
      </c>
      <c r="D651" s="7">
        <v>1</v>
      </c>
      <c r="E651" s="8">
        <v>2.81</v>
      </c>
      <c r="F651" s="8">
        <v>0.15</v>
      </c>
      <c r="G651" s="8">
        <v>0.25</v>
      </c>
      <c r="H651" s="9">
        <f t="shared" si="73"/>
        <v>0.105375</v>
      </c>
      <c r="I651" s="36" t="s">
        <v>506</v>
      </c>
      <c r="J651" s="18" t="s">
        <v>80</v>
      </c>
      <c r="K651" s="19"/>
    </row>
    <row r="652" spans="2:11">
      <c r="B652" s="4"/>
      <c r="C652" s="39"/>
      <c r="D652" s="7">
        <v>1</v>
      </c>
      <c r="E652" s="8">
        <v>4.53</v>
      </c>
      <c r="F652" s="8">
        <v>0.15</v>
      </c>
      <c r="G652" s="8">
        <v>0.25</v>
      </c>
      <c r="H652" s="9">
        <f t="shared" si="73"/>
        <v>0.169875</v>
      </c>
      <c r="I652" s="36" t="s">
        <v>506</v>
      </c>
      <c r="J652" s="18" t="s">
        <v>448</v>
      </c>
      <c r="K652" s="19"/>
    </row>
    <row r="653" spans="2:11">
      <c r="B653" s="4"/>
      <c r="C653" s="39"/>
      <c r="D653" s="7"/>
      <c r="E653" s="8"/>
      <c r="F653" s="8"/>
      <c r="G653" s="8"/>
      <c r="H653" s="9"/>
      <c r="I653" s="36"/>
      <c r="J653" s="18"/>
      <c r="K653" s="19"/>
    </row>
    <row r="654" spans="2:11">
      <c r="B654" s="4"/>
      <c r="C654" s="125" t="s">
        <v>509</v>
      </c>
      <c r="D654" s="7"/>
      <c r="E654" s="8"/>
      <c r="F654" s="8"/>
      <c r="G654" s="8"/>
      <c r="H654" s="9"/>
      <c r="I654" s="36"/>
      <c r="J654" s="18"/>
      <c r="K654" s="19"/>
    </row>
    <row r="655" spans="2:11">
      <c r="B655" s="4"/>
      <c r="C655" s="125" t="s">
        <v>527</v>
      </c>
      <c r="D655" s="7">
        <v>2</v>
      </c>
      <c r="E655" s="8">
        <v>1</v>
      </c>
      <c r="F655" s="8">
        <v>0.15</v>
      </c>
      <c r="G655" s="8">
        <v>0.25</v>
      </c>
      <c r="H655" s="9">
        <f t="shared" ref="H655:H656" si="74">PRODUCT(D655:G655)</f>
        <v>7.4999999999999997E-2</v>
      </c>
      <c r="I655" s="36"/>
      <c r="J655" s="18"/>
      <c r="K655" s="19"/>
    </row>
    <row r="656" spans="2:11">
      <c r="B656" s="4"/>
      <c r="C656" s="125" t="s">
        <v>526</v>
      </c>
      <c r="D656" s="7">
        <v>1</v>
      </c>
      <c r="E656" s="8">
        <v>0.9</v>
      </c>
      <c r="F656" s="8">
        <v>0.15</v>
      </c>
      <c r="G656" s="8">
        <v>0.25</v>
      </c>
      <c r="H656" s="9">
        <f t="shared" si="74"/>
        <v>3.3750000000000002E-2</v>
      </c>
      <c r="I656" s="36"/>
      <c r="J656" s="18"/>
      <c r="K656" s="19"/>
    </row>
    <row r="657" spans="2:11">
      <c r="B657" s="4"/>
      <c r="C657" s="125" t="s">
        <v>529</v>
      </c>
      <c r="D657" s="7">
        <v>1</v>
      </c>
      <c r="E657" s="8">
        <v>1.2</v>
      </c>
      <c r="F657" s="8">
        <v>0.15</v>
      </c>
      <c r="G657" s="8">
        <v>0.25</v>
      </c>
      <c r="H657" s="9">
        <f t="shared" ref="H657" si="75">PRODUCT(D657:G657)</f>
        <v>4.4999999999999998E-2</v>
      </c>
      <c r="I657" s="36"/>
      <c r="J657" s="18"/>
      <c r="K657" s="19"/>
    </row>
    <row r="658" spans="2:11">
      <c r="B658" s="4"/>
      <c r="C658" s="125" t="s">
        <v>530</v>
      </c>
      <c r="D658" s="7">
        <v>1</v>
      </c>
      <c r="E658" s="8">
        <v>0.8</v>
      </c>
      <c r="F658" s="8">
        <v>0.15</v>
      </c>
      <c r="G658" s="8">
        <v>0.25</v>
      </c>
      <c r="H658" s="9">
        <f t="shared" ref="H658:H659" si="76">PRODUCT(D658:G658)</f>
        <v>0.03</v>
      </c>
      <c r="I658" s="36"/>
      <c r="J658" s="18"/>
      <c r="K658" s="19"/>
    </row>
    <row r="659" spans="2:11">
      <c r="B659" s="4"/>
      <c r="C659" s="125" t="s">
        <v>531</v>
      </c>
      <c r="D659" s="7">
        <v>1</v>
      </c>
      <c r="E659" s="8">
        <v>1.5</v>
      </c>
      <c r="F659" s="8">
        <v>0.15</v>
      </c>
      <c r="G659" s="8">
        <v>0.25</v>
      </c>
      <c r="H659" s="9">
        <f t="shared" si="76"/>
        <v>5.6249999999999994E-2</v>
      </c>
      <c r="I659" s="36"/>
      <c r="J659" s="18"/>
      <c r="K659" s="19"/>
    </row>
    <row r="660" spans="2:11">
      <c r="B660" s="4"/>
      <c r="C660" s="39"/>
      <c r="D660" s="7"/>
      <c r="E660" s="8"/>
      <c r="F660" s="8"/>
      <c r="G660" s="8"/>
      <c r="H660" s="9"/>
      <c r="I660" s="36"/>
      <c r="J660" s="18"/>
      <c r="K660" s="19"/>
    </row>
    <row r="661" spans="2:11">
      <c r="B661" s="4"/>
      <c r="C661" s="39"/>
      <c r="D661" s="7"/>
      <c r="E661" s="8"/>
      <c r="F661" s="8"/>
      <c r="G661" s="8"/>
      <c r="H661" s="9"/>
      <c r="I661" s="36"/>
      <c r="J661" s="18"/>
      <c r="K661" s="19"/>
    </row>
    <row r="662" spans="2:11">
      <c r="B662" s="4"/>
      <c r="C662" s="39"/>
      <c r="D662" s="7"/>
      <c r="E662" s="8"/>
      <c r="F662" s="8"/>
      <c r="G662" s="8"/>
      <c r="H662" s="9"/>
      <c r="I662" s="36"/>
      <c r="J662" s="18"/>
      <c r="K662" s="19"/>
    </row>
    <row r="663" spans="2:11">
      <c r="B663" s="4"/>
      <c r="C663" s="196" t="s">
        <v>23</v>
      </c>
      <c r="D663" s="191"/>
      <c r="E663" s="191"/>
      <c r="F663" s="191"/>
      <c r="G663" s="191"/>
      <c r="H663" s="192"/>
      <c r="I663" s="11">
        <f>SUM(H665:H825)</f>
        <v>1570.9052599999995</v>
      </c>
      <c r="J663" s="18" t="s">
        <v>24</v>
      </c>
      <c r="K663" s="19"/>
    </row>
    <row r="664" spans="2:11">
      <c r="B664" s="4"/>
      <c r="C664" s="21" t="s">
        <v>132</v>
      </c>
      <c r="D664" s="7"/>
      <c r="E664" s="8"/>
      <c r="F664" s="8"/>
      <c r="G664" s="8"/>
      <c r="H664" s="9"/>
      <c r="I664" s="10"/>
      <c r="J664" s="18"/>
      <c r="K664" s="19" t="s">
        <v>488</v>
      </c>
    </row>
    <row r="665" spans="2:11">
      <c r="B665" s="4"/>
      <c r="C665" s="6" t="s">
        <v>435</v>
      </c>
      <c r="D665" s="7">
        <v>1</v>
      </c>
      <c r="E665" s="8">
        <f>4.15+0.15+0.15</f>
        <v>4.4500000000000011</v>
      </c>
      <c r="F665" s="8">
        <v>4</v>
      </c>
      <c r="G665" s="8">
        <v>0.99399999999999999</v>
      </c>
      <c r="H665" s="9">
        <f>PRODUCT(D665:G665)</f>
        <v>17.693200000000004</v>
      </c>
      <c r="I665" s="36" t="s">
        <v>486</v>
      </c>
      <c r="J665" s="18" t="s">
        <v>487</v>
      </c>
      <c r="K665" s="19" t="s">
        <v>28</v>
      </c>
    </row>
    <row r="666" spans="2:11">
      <c r="B666" s="4"/>
      <c r="C666" s="6"/>
      <c r="D666" s="7">
        <v>1</v>
      </c>
      <c r="E666" s="8">
        <f>ROUND(12+((E665-0.3-1.1)/0.2),0)</f>
        <v>27</v>
      </c>
      <c r="F666" s="8">
        <f>0.75+0.15</f>
        <v>0.9</v>
      </c>
      <c r="G666" s="8">
        <v>0.222</v>
      </c>
      <c r="H666" s="9">
        <f t="shared" ref="H666:H687" si="77">PRODUCT(D666:G666)</f>
        <v>5.3946000000000005</v>
      </c>
      <c r="I666" s="36"/>
      <c r="J666" s="18"/>
      <c r="K666" s="19" t="s">
        <v>29</v>
      </c>
    </row>
    <row r="667" spans="2:11">
      <c r="B667" s="4"/>
      <c r="C667" s="6"/>
      <c r="D667" s="7">
        <v>1</v>
      </c>
      <c r="E667" s="8">
        <f>4.05+0.15+0.15</f>
        <v>4.3500000000000005</v>
      </c>
      <c r="F667" s="8">
        <v>4</v>
      </c>
      <c r="G667" s="8">
        <v>0.99</v>
      </c>
      <c r="H667" s="9">
        <f t="shared" si="77"/>
        <v>17.226000000000003</v>
      </c>
      <c r="I667" s="36" t="s">
        <v>486</v>
      </c>
      <c r="J667" s="18" t="s">
        <v>489</v>
      </c>
      <c r="K667" s="19" t="s">
        <v>28</v>
      </c>
    </row>
    <row r="668" spans="2:11">
      <c r="B668" s="4"/>
      <c r="C668" s="6"/>
      <c r="D668" s="7">
        <v>1</v>
      </c>
      <c r="E668" s="8">
        <f>ROUND(12+((E667-0.3-1.1)/0.2),0)</f>
        <v>27</v>
      </c>
      <c r="F668" s="8">
        <f>0.75+0.15</f>
        <v>0.9</v>
      </c>
      <c r="G668" s="8">
        <v>0.222</v>
      </c>
      <c r="H668" s="9">
        <f t="shared" si="77"/>
        <v>5.3946000000000005</v>
      </c>
      <c r="I668" s="36"/>
      <c r="J668" s="18"/>
      <c r="K668" s="19" t="s">
        <v>29</v>
      </c>
    </row>
    <row r="669" spans="2:11">
      <c r="B669" s="4"/>
      <c r="C669" s="6" t="s">
        <v>93</v>
      </c>
      <c r="D669" s="7">
        <v>1</v>
      </c>
      <c r="E669" s="8">
        <v>4.0999999999999996</v>
      </c>
      <c r="F669" s="8">
        <v>4</v>
      </c>
      <c r="G669" s="8">
        <v>1.552</v>
      </c>
      <c r="H669" s="9">
        <f t="shared" si="77"/>
        <v>25.4528</v>
      </c>
      <c r="I669" s="36" t="s">
        <v>490</v>
      </c>
      <c r="J669" s="18" t="s">
        <v>487</v>
      </c>
      <c r="K669" s="19" t="s">
        <v>25</v>
      </c>
    </row>
    <row r="670" spans="2:11">
      <c r="B670" s="4"/>
      <c r="C670" s="6"/>
      <c r="D670" s="7">
        <v>1</v>
      </c>
      <c r="E670" s="8">
        <f>ROUND(18+((E669-0.3-1.7)/0.2),0)</f>
        <v>29</v>
      </c>
      <c r="F670" s="8">
        <v>1.3</v>
      </c>
      <c r="G670" s="8">
        <v>0.56000000000000005</v>
      </c>
      <c r="H670" s="9">
        <f t="shared" si="77"/>
        <v>21.112000000000002</v>
      </c>
      <c r="I670" s="36"/>
      <c r="J670" s="18"/>
      <c r="K670" s="19" t="s">
        <v>26</v>
      </c>
    </row>
    <row r="671" spans="2:11">
      <c r="B671" s="4"/>
      <c r="C671" s="6"/>
      <c r="D671" s="7">
        <v>1</v>
      </c>
      <c r="E671" s="8">
        <f>4.05+0.15+0.15</f>
        <v>4.3500000000000005</v>
      </c>
      <c r="F671" s="8">
        <v>4</v>
      </c>
      <c r="G671" s="8">
        <v>1.552</v>
      </c>
      <c r="H671" s="9">
        <f t="shared" si="77"/>
        <v>27.004800000000003</v>
      </c>
      <c r="I671" s="36" t="s">
        <v>490</v>
      </c>
      <c r="J671" s="18" t="s">
        <v>489</v>
      </c>
      <c r="K671" s="19"/>
    </row>
    <row r="672" spans="2:11">
      <c r="B672" s="4"/>
      <c r="C672" s="6"/>
      <c r="D672" s="7">
        <v>1</v>
      </c>
      <c r="E672" s="8">
        <f>ROUND(18+((E671-0.3-1.7)/0.2),0)</f>
        <v>30</v>
      </c>
      <c r="F672" s="8">
        <v>1.3</v>
      </c>
      <c r="G672" s="8">
        <v>0.56000000000000005</v>
      </c>
      <c r="H672" s="9">
        <f t="shared" si="77"/>
        <v>21.840000000000003</v>
      </c>
      <c r="I672" s="36"/>
      <c r="J672" s="18"/>
      <c r="K672" s="19"/>
    </row>
    <row r="673" spans="2:11">
      <c r="B673" s="4"/>
      <c r="C673" s="6" t="s">
        <v>92</v>
      </c>
      <c r="D673" s="7">
        <v>1</v>
      </c>
      <c r="E673" s="8">
        <f>4.15+0.15+0.15</f>
        <v>4.4500000000000011</v>
      </c>
      <c r="F673" s="8">
        <v>4</v>
      </c>
      <c r="G673" s="8">
        <v>0.99399999999999999</v>
      </c>
      <c r="H673" s="9">
        <f t="shared" si="77"/>
        <v>17.693200000000004</v>
      </c>
      <c r="I673" s="36" t="s">
        <v>486</v>
      </c>
      <c r="J673" s="18" t="s">
        <v>487</v>
      </c>
      <c r="K673" s="19" t="s">
        <v>28</v>
      </c>
    </row>
    <row r="674" spans="2:11">
      <c r="B674" s="4"/>
      <c r="C674" s="6"/>
      <c r="D674" s="7">
        <v>1</v>
      </c>
      <c r="E674" s="8">
        <f>ROUND(12+((E673-0.3-1.1)/0.2),0)</f>
        <v>27</v>
      </c>
      <c r="F674" s="8">
        <f>0.75+0.15</f>
        <v>0.9</v>
      </c>
      <c r="G674" s="8">
        <v>0.222</v>
      </c>
      <c r="H674" s="9">
        <f t="shared" si="77"/>
        <v>5.3946000000000005</v>
      </c>
      <c r="I674" s="36"/>
      <c r="J674" s="18"/>
      <c r="K674" s="19" t="s">
        <v>29</v>
      </c>
    </row>
    <row r="675" spans="2:11">
      <c r="B675" s="4"/>
      <c r="C675" s="6"/>
      <c r="D675" s="7">
        <v>1</v>
      </c>
      <c r="E675" s="8">
        <f>4.05+0.15+0.15</f>
        <v>4.3500000000000005</v>
      </c>
      <c r="F675" s="8">
        <v>4</v>
      </c>
      <c r="G675" s="8">
        <v>0.99399999999999999</v>
      </c>
      <c r="H675" s="9">
        <f t="shared" si="77"/>
        <v>17.2956</v>
      </c>
      <c r="I675" s="36" t="s">
        <v>486</v>
      </c>
      <c r="J675" s="18" t="s">
        <v>489</v>
      </c>
      <c r="K675" s="19" t="s">
        <v>28</v>
      </c>
    </row>
    <row r="676" spans="2:11">
      <c r="B676" s="4"/>
      <c r="C676" s="6"/>
      <c r="D676" s="7">
        <v>1</v>
      </c>
      <c r="E676" s="8">
        <f>ROUND(12+((E675-0.3-1.1)/0.2),0)</f>
        <v>27</v>
      </c>
      <c r="F676" s="8">
        <f>0.75+0.15</f>
        <v>0.9</v>
      </c>
      <c r="G676" s="8">
        <v>0.222</v>
      </c>
      <c r="H676" s="9">
        <f t="shared" si="77"/>
        <v>5.3946000000000005</v>
      </c>
      <c r="I676" s="36"/>
      <c r="J676" s="18"/>
      <c r="K676" s="19" t="s">
        <v>29</v>
      </c>
    </row>
    <row r="677" spans="2:11">
      <c r="B677" s="4"/>
      <c r="C677" s="6" t="s">
        <v>447</v>
      </c>
      <c r="D677" s="7">
        <v>1</v>
      </c>
      <c r="E677" s="8">
        <f>2.51+0.15+0.15</f>
        <v>2.8099999999999996</v>
      </c>
      <c r="F677" s="8">
        <v>4</v>
      </c>
      <c r="G677" s="8">
        <v>0.99399999999999999</v>
      </c>
      <c r="H677" s="9">
        <f t="shared" si="77"/>
        <v>11.172559999999999</v>
      </c>
      <c r="I677" s="36" t="s">
        <v>486</v>
      </c>
      <c r="J677" s="18" t="s">
        <v>79</v>
      </c>
      <c r="K677" s="19" t="s">
        <v>491</v>
      </c>
    </row>
    <row r="678" spans="2:11">
      <c r="B678" s="4"/>
      <c r="C678" s="6"/>
      <c r="D678" s="7">
        <v>1</v>
      </c>
      <c r="E678" s="8">
        <f>ROUND(12+((E677-0.3-1.1)/0.2),0)</f>
        <v>19</v>
      </c>
      <c r="F678" s="8">
        <f>0.75+0.15</f>
        <v>0.9</v>
      </c>
      <c r="G678" s="8">
        <v>0.222</v>
      </c>
      <c r="H678" s="9">
        <f t="shared" si="77"/>
        <v>3.7962000000000002</v>
      </c>
      <c r="I678" s="36"/>
      <c r="J678" s="18"/>
      <c r="K678" s="19"/>
    </row>
    <row r="679" spans="2:11">
      <c r="B679" s="4"/>
      <c r="C679" s="6"/>
      <c r="D679" s="7">
        <v>1</v>
      </c>
      <c r="E679" s="8">
        <f>4.46+0.15+0.15</f>
        <v>4.7600000000000007</v>
      </c>
      <c r="F679" s="8">
        <v>4</v>
      </c>
      <c r="G679" s="8">
        <v>0.99399999999999999</v>
      </c>
      <c r="H679" s="9">
        <f t="shared" si="77"/>
        <v>18.925760000000004</v>
      </c>
      <c r="I679" s="36" t="s">
        <v>486</v>
      </c>
      <c r="J679" s="18" t="s">
        <v>448</v>
      </c>
      <c r="K679" s="19"/>
    </row>
    <row r="680" spans="2:11">
      <c r="B680" s="4"/>
      <c r="C680" s="6"/>
      <c r="D680" s="7">
        <v>1</v>
      </c>
      <c r="E680" s="8">
        <f>ROUND(12+((E679-0.3-1.1)/0.2),0)</f>
        <v>29</v>
      </c>
      <c r="F680" s="8">
        <f>0.75+0.15</f>
        <v>0.9</v>
      </c>
      <c r="G680" s="8">
        <v>0.222</v>
      </c>
      <c r="H680" s="9">
        <f t="shared" si="77"/>
        <v>5.7942</v>
      </c>
      <c r="I680" s="36"/>
      <c r="J680" s="18"/>
      <c r="K680" s="19"/>
    </row>
    <row r="681" spans="2:11">
      <c r="B681" s="4"/>
      <c r="C681" s="6" t="s">
        <v>492</v>
      </c>
      <c r="D681" s="7">
        <v>1</v>
      </c>
      <c r="E681" s="8">
        <f>7.21+0.15+0.15</f>
        <v>7.5100000000000007</v>
      </c>
      <c r="F681" s="8">
        <v>4</v>
      </c>
      <c r="G681" s="8">
        <v>2.2349999999999999</v>
      </c>
      <c r="H681" s="9">
        <f t="shared" si="77"/>
        <v>67.139400000000009</v>
      </c>
      <c r="I681" s="148" t="s">
        <v>493</v>
      </c>
      <c r="J681" s="18" t="s">
        <v>494</v>
      </c>
      <c r="K681" s="19" t="s">
        <v>510</v>
      </c>
    </row>
    <row r="682" spans="2:11">
      <c r="B682" s="4"/>
      <c r="C682" s="6"/>
      <c r="D682" s="7">
        <v>1</v>
      </c>
      <c r="E682" s="8">
        <v>4.1500000000000004</v>
      </c>
      <c r="F682" s="8">
        <v>2</v>
      </c>
      <c r="G682" s="8">
        <v>2.2349999999999999</v>
      </c>
      <c r="H682" s="9">
        <f t="shared" si="77"/>
        <v>18.5505</v>
      </c>
      <c r="I682" s="148"/>
      <c r="J682" s="18"/>
      <c r="K682" s="19" t="s">
        <v>510</v>
      </c>
    </row>
    <row r="683" spans="2:11">
      <c r="B683" s="4"/>
      <c r="C683" s="6"/>
      <c r="D683" s="7">
        <v>1</v>
      </c>
      <c r="E683" s="8">
        <f>ROUND(28+((E681-0.3-2.7)/0.25),0)</f>
        <v>46</v>
      </c>
      <c r="F683" s="8">
        <v>1.9</v>
      </c>
      <c r="G683" s="8">
        <v>0.56000000000000005</v>
      </c>
      <c r="H683" s="9">
        <f t="shared" si="77"/>
        <v>48.944000000000003</v>
      </c>
      <c r="I683" s="36"/>
      <c r="J683" s="18"/>
      <c r="K683" s="19" t="s">
        <v>26</v>
      </c>
    </row>
    <row r="684" spans="2:11">
      <c r="B684" s="4"/>
      <c r="C684" s="6" t="s">
        <v>82</v>
      </c>
      <c r="D684" s="7">
        <v>1</v>
      </c>
      <c r="E684" s="8">
        <f>2.51+0.15+0.15</f>
        <v>2.8099999999999996</v>
      </c>
      <c r="F684" s="8">
        <v>4</v>
      </c>
      <c r="G684" s="8">
        <v>0.99399999999999999</v>
      </c>
      <c r="H684" s="9">
        <f t="shared" si="77"/>
        <v>11.172559999999999</v>
      </c>
      <c r="I684" s="36" t="s">
        <v>486</v>
      </c>
      <c r="J684" s="18" t="s">
        <v>79</v>
      </c>
      <c r="K684" s="19" t="s">
        <v>28</v>
      </c>
    </row>
    <row r="685" spans="2:11">
      <c r="B685" s="4"/>
      <c r="C685" s="6"/>
      <c r="D685" s="7">
        <v>1</v>
      </c>
      <c r="E685" s="8">
        <f>ROUND(12+((E684-0.3-1.1)/0.2),0)</f>
        <v>19</v>
      </c>
      <c r="F685" s="8">
        <f>0.75+0.15</f>
        <v>0.9</v>
      </c>
      <c r="G685" s="8">
        <v>0.222</v>
      </c>
      <c r="H685" s="9">
        <f t="shared" si="77"/>
        <v>3.7962000000000002</v>
      </c>
      <c r="I685" s="36"/>
      <c r="J685" s="18"/>
      <c r="K685" s="19" t="s">
        <v>29</v>
      </c>
    </row>
    <row r="686" spans="2:11">
      <c r="B686" s="4"/>
      <c r="C686" s="6"/>
      <c r="D686" s="7">
        <v>1</v>
      </c>
      <c r="E686" s="8">
        <f>4.46+0.15+0.15</f>
        <v>4.7600000000000007</v>
      </c>
      <c r="F686" s="8">
        <v>4</v>
      </c>
      <c r="G686" s="8">
        <v>0.99399999999999999</v>
      </c>
      <c r="H686" s="9">
        <f t="shared" si="77"/>
        <v>18.925760000000004</v>
      </c>
      <c r="I686" s="36" t="s">
        <v>486</v>
      </c>
      <c r="J686" s="18" t="s">
        <v>448</v>
      </c>
      <c r="K686" s="19" t="s">
        <v>28</v>
      </c>
    </row>
    <row r="687" spans="2:11">
      <c r="B687" s="4"/>
      <c r="C687" s="6"/>
      <c r="D687" s="7">
        <v>1</v>
      </c>
      <c r="E687" s="8">
        <f>ROUND(12+((E686-0.3-1.1)/0.2),0)</f>
        <v>29</v>
      </c>
      <c r="F687" s="8">
        <f>0.75+0.15</f>
        <v>0.9</v>
      </c>
      <c r="G687" s="8">
        <v>0.222</v>
      </c>
      <c r="H687" s="9">
        <f t="shared" si="77"/>
        <v>5.7942</v>
      </c>
      <c r="I687" s="36"/>
      <c r="J687" s="18"/>
      <c r="K687" s="19" t="s">
        <v>29</v>
      </c>
    </row>
    <row r="688" spans="2:11">
      <c r="B688" s="4"/>
      <c r="C688" s="6"/>
      <c r="D688" s="7"/>
      <c r="E688" s="8"/>
      <c r="F688" s="8"/>
      <c r="G688" s="8"/>
      <c r="H688" s="9"/>
      <c r="I688" s="36"/>
      <c r="J688" s="18"/>
      <c r="K688" s="19"/>
    </row>
    <row r="689" spans="2:11">
      <c r="B689" s="4"/>
      <c r="C689" s="6" t="s">
        <v>495</v>
      </c>
      <c r="D689" s="7">
        <v>1</v>
      </c>
      <c r="E689" s="8">
        <f>3.35+0.15+0.15</f>
        <v>3.65</v>
      </c>
      <c r="F689" s="8">
        <v>4</v>
      </c>
      <c r="G689" s="8">
        <v>0.99399999999999999</v>
      </c>
      <c r="H689" s="9">
        <f t="shared" ref="H689:H752" si="78">PRODUCT(D689:G689)</f>
        <v>14.5124</v>
      </c>
      <c r="I689" s="36" t="s">
        <v>486</v>
      </c>
      <c r="J689" s="18" t="s">
        <v>438</v>
      </c>
      <c r="K689" s="19" t="s">
        <v>496</v>
      </c>
    </row>
    <row r="690" spans="2:11">
      <c r="B690" s="4"/>
      <c r="C690" s="6"/>
      <c r="D690" s="7">
        <v>1</v>
      </c>
      <c r="E690" s="8">
        <f>ROUND(12+((E689-0.3-1.1)/0.2),0)</f>
        <v>23</v>
      </c>
      <c r="F690" s="8">
        <f>0.75+0.15</f>
        <v>0.9</v>
      </c>
      <c r="G690" s="8">
        <v>0.222</v>
      </c>
      <c r="H690" s="9">
        <f t="shared" si="78"/>
        <v>4.5953999999999997</v>
      </c>
      <c r="I690" s="36"/>
      <c r="J690" s="18"/>
      <c r="K690" s="19"/>
    </row>
    <row r="691" spans="2:11">
      <c r="B691" s="4"/>
      <c r="C691" s="6"/>
      <c r="D691" s="7">
        <v>1</v>
      </c>
      <c r="E691" s="8">
        <f>2.9+0.15+0.15</f>
        <v>3.1999999999999997</v>
      </c>
      <c r="F691" s="8">
        <v>4</v>
      </c>
      <c r="G691" s="8">
        <v>0.99</v>
      </c>
      <c r="H691" s="9">
        <f t="shared" si="78"/>
        <v>12.671999999999999</v>
      </c>
      <c r="I691" s="36" t="s">
        <v>486</v>
      </c>
      <c r="J691" s="18" t="s">
        <v>439</v>
      </c>
      <c r="K691" s="19" t="s">
        <v>28</v>
      </c>
    </row>
    <row r="692" spans="2:11">
      <c r="B692" s="4"/>
      <c r="C692" s="6"/>
      <c r="D692" s="7">
        <v>1</v>
      </c>
      <c r="E692" s="8">
        <f>ROUND(12+((E691-0.3-1.1)/0.2),0)</f>
        <v>21</v>
      </c>
      <c r="F692" s="8">
        <f>0.75+0.15</f>
        <v>0.9</v>
      </c>
      <c r="G692" s="8">
        <v>0.222</v>
      </c>
      <c r="H692" s="9">
        <f t="shared" si="78"/>
        <v>4.1958000000000002</v>
      </c>
      <c r="I692" s="36"/>
      <c r="J692" s="18"/>
      <c r="K692" s="19" t="s">
        <v>29</v>
      </c>
    </row>
    <row r="693" spans="2:11">
      <c r="B693" s="4"/>
      <c r="C693" s="6" t="s">
        <v>497</v>
      </c>
      <c r="D693" s="7">
        <v>1</v>
      </c>
      <c r="E693" s="8">
        <f>2.9+0.15+0.15</f>
        <v>3.1999999999999997</v>
      </c>
      <c r="F693" s="8">
        <v>4</v>
      </c>
      <c r="G693" s="8">
        <v>0.99</v>
      </c>
      <c r="H693" s="9">
        <f t="shared" si="78"/>
        <v>12.671999999999999</v>
      </c>
      <c r="I693" s="36" t="s">
        <v>486</v>
      </c>
      <c r="J693" s="18" t="s">
        <v>439</v>
      </c>
      <c r="K693" s="19"/>
    </row>
    <row r="694" spans="2:11">
      <c r="B694" s="4"/>
      <c r="C694" s="6"/>
      <c r="D694" s="7">
        <v>1</v>
      </c>
      <c r="E694" s="8">
        <f>ROUND(12+((E693-0.3-1.1)/0.2),0)</f>
        <v>21</v>
      </c>
      <c r="F694" s="8">
        <f>0.75+0.15</f>
        <v>0.9</v>
      </c>
      <c r="G694" s="8">
        <v>0.222</v>
      </c>
      <c r="H694" s="9">
        <f t="shared" si="78"/>
        <v>4.1958000000000002</v>
      </c>
      <c r="I694" s="36"/>
      <c r="J694" s="18"/>
      <c r="K694" s="19"/>
    </row>
    <row r="695" spans="2:11">
      <c r="B695" s="4"/>
      <c r="C695" s="6"/>
      <c r="D695" s="7">
        <v>1</v>
      </c>
      <c r="E695" s="8">
        <f>2.9+0.15+0.15</f>
        <v>3.1999999999999997</v>
      </c>
      <c r="F695" s="8">
        <v>4</v>
      </c>
      <c r="G695" s="8">
        <v>0.99</v>
      </c>
      <c r="H695" s="9">
        <f t="shared" si="78"/>
        <v>12.671999999999999</v>
      </c>
      <c r="I695" s="36" t="s">
        <v>486</v>
      </c>
      <c r="J695" s="18" t="s">
        <v>439</v>
      </c>
      <c r="K695" s="19"/>
    </row>
    <row r="696" spans="2:11">
      <c r="B696" s="4"/>
      <c r="C696" s="6"/>
      <c r="D696" s="7">
        <v>1</v>
      </c>
      <c r="E696" s="8">
        <f>ROUND(12+((E695-0.3-1.1)/0.2),0)</f>
        <v>21</v>
      </c>
      <c r="F696" s="8">
        <f>0.75+0.15</f>
        <v>0.9</v>
      </c>
      <c r="G696" s="8">
        <v>0.222</v>
      </c>
      <c r="H696" s="9">
        <f t="shared" si="78"/>
        <v>4.1958000000000002</v>
      </c>
      <c r="I696" s="36"/>
      <c r="J696" s="18"/>
      <c r="K696" s="19"/>
    </row>
    <row r="697" spans="2:11">
      <c r="B697" s="4"/>
      <c r="C697" s="6" t="s">
        <v>93</v>
      </c>
      <c r="D697" s="7">
        <v>1</v>
      </c>
      <c r="E697" s="8">
        <f>3.25+0.15+0.15</f>
        <v>3.55</v>
      </c>
      <c r="F697" s="8">
        <v>4</v>
      </c>
      <c r="G697" s="8">
        <v>1.552</v>
      </c>
      <c r="H697" s="9">
        <f t="shared" si="78"/>
        <v>22.038399999999999</v>
      </c>
      <c r="I697" s="36" t="s">
        <v>490</v>
      </c>
      <c r="J697" s="18" t="s">
        <v>438</v>
      </c>
      <c r="K697" s="19"/>
    </row>
    <row r="698" spans="2:11">
      <c r="B698" s="4"/>
      <c r="C698" s="6"/>
      <c r="D698" s="7">
        <v>1</v>
      </c>
      <c r="E698" s="8">
        <f>ROUND(18+((E697-0.3-1.7)/0.2),0)</f>
        <v>26</v>
      </c>
      <c r="F698" s="8">
        <v>1.3</v>
      </c>
      <c r="G698" s="8">
        <v>0.56000000000000005</v>
      </c>
      <c r="H698" s="9">
        <f t="shared" si="78"/>
        <v>18.928000000000004</v>
      </c>
      <c r="I698" s="36"/>
      <c r="J698" s="18"/>
      <c r="K698" s="19"/>
    </row>
    <row r="699" spans="2:11">
      <c r="B699" s="4"/>
      <c r="C699" s="6"/>
      <c r="D699" s="7">
        <v>1</v>
      </c>
      <c r="E699" s="8">
        <f>2.85+0.15+0.15</f>
        <v>3.15</v>
      </c>
      <c r="F699" s="8">
        <v>4</v>
      </c>
      <c r="G699" s="8">
        <v>1.552</v>
      </c>
      <c r="H699" s="9">
        <f t="shared" si="78"/>
        <v>19.555199999999999</v>
      </c>
      <c r="I699" s="36" t="s">
        <v>490</v>
      </c>
      <c r="J699" s="18" t="s">
        <v>439</v>
      </c>
      <c r="K699" s="19"/>
    </row>
    <row r="700" spans="2:11">
      <c r="B700" s="4"/>
      <c r="C700" s="6"/>
      <c r="D700" s="7">
        <v>1</v>
      </c>
      <c r="E700" s="8">
        <f>ROUND(18+((E699-0.3-1.7)/0.2),0)</f>
        <v>24</v>
      </c>
      <c r="F700" s="8">
        <v>1.3</v>
      </c>
      <c r="G700" s="8">
        <v>0.56000000000000005</v>
      </c>
      <c r="H700" s="9">
        <f t="shared" si="78"/>
        <v>17.472000000000005</v>
      </c>
      <c r="I700" s="36"/>
      <c r="J700" s="18"/>
      <c r="K700" s="19"/>
    </row>
    <row r="701" spans="2:11">
      <c r="B701" s="4"/>
      <c r="C701" s="6"/>
      <c r="D701" s="7">
        <v>1</v>
      </c>
      <c r="E701" s="8">
        <f>2.52+0.15+0.15</f>
        <v>2.82</v>
      </c>
      <c r="F701" s="8">
        <v>4</v>
      </c>
      <c r="G701" s="8">
        <v>0.99399999999999999</v>
      </c>
      <c r="H701" s="9">
        <f t="shared" si="78"/>
        <v>11.21232</v>
      </c>
      <c r="I701" s="36" t="s">
        <v>498</v>
      </c>
      <c r="J701" s="18" t="s">
        <v>146</v>
      </c>
      <c r="K701" s="19"/>
    </row>
    <row r="702" spans="2:11">
      <c r="B702" s="4"/>
      <c r="C702" s="6"/>
      <c r="D702" s="7">
        <v>1</v>
      </c>
      <c r="E702" s="8">
        <f>ROUND(12+((E701-0.3-1.1)/0.2),0)</f>
        <v>19</v>
      </c>
      <c r="F702" s="8">
        <v>0.7</v>
      </c>
      <c r="G702" s="8">
        <v>0.222</v>
      </c>
      <c r="H702" s="9">
        <f t="shared" si="78"/>
        <v>2.9525999999999999</v>
      </c>
      <c r="I702" s="36"/>
      <c r="J702" s="18"/>
      <c r="K702" s="19"/>
    </row>
    <row r="703" spans="2:11">
      <c r="B703" s="4"/>
      <c r="C703" s="6" t="s">
        <v>92</v>
      </c>
      <c r="D703" s="7">
        <v>1</v>
      </c>
      <c r="E703" s="8">
        <f>3.35+0.15+0.15</f>
        <v>3.65</v>
      </c>
      <c r="F703" s="8">
        <v>4</v>
      </c>
      <c r="G703" s="8">
        <v>0.99</v>
      </c>
      <c r="H703" s="9">
        <f t="shared" si="78"/>
        <v>14.453999999999999</v>
      </c>
      <c r="I703" s="36" t="s">
        <v>486</v>
      </c>
      <c r="J703" s="18" t="s">
        <v>438</v>
      </c>
      <c r="K703" s="19"/>
    </row>
    <row r="704" spans="2:11">
      <c r="B704" s="4"/>
      <c r="C704" s="6"/>
      <c r="D704" s="7">
        <v>1</v>
      </c>
      <c r="E704" s="8">
        <f>ROUND(12+((E703-0.3-1.1)/0.2),0)</f>
        <v>23</v>
      </c>
      <c r="F704" s="8">
        <f>0.75+0.15</f>
        <v>0.9</v>
      </c>
      <c r="G704" s="8">
        <v>0.222</v>
      </c>
      <c r="H704" s="9">
        <f t="shared" si="78"/>
        <v>4.5953999999999997</v>
      </c>
      <c r="I704" s="36"/>
      <c r="J704" s="18"/>
      <c r="K704" s="19"/>
    </row>
    <row r="705" spans="2:11">
      <c r="B705" s="4"/>
      <c r="C705" s="6"/>
      <c r="D705" s="7">
        <v>1</v>
      </c>
      <c r="E705" s="8">
        <f>2.9+0.15+0.15</f>
        <v>3.1999999999999997</v>
      </c>
      <c r="F705" s="8">
        <v>4</v>
      </c>
      <c r="G705" s="8">
        <v>1.552</v>
      </c>
      <c r="H705" s="9">
        <f t="shared" si="78"/>
        <v>19.865600000000001</v>
      </c>
      <c r="I705" s="36" t="s">
        <v>499</v>
      </c>
      <c r="J705" s="18" t="s">
        <v>439</v>
      </c>
      <c r="K705" s="19"/>
    </row>
    <row r="706" spans="2:11">
      <c r="B706" s="4"/>
      <c r="C706" s="6"/>
      <c r="D706" s="7">
        <v>1</v>
      </c>
      <c r="E706" s="8">
        <f>ROUND(18+((E705-0.3-1.7)/0.2),0)</f>
        <v>24</v>
      </c>
      <c r="F706" s="8">
        <v>1.3</v>
      </c>
      <c r="G706" s="8">
        <v>0.56000000000000005</v>
      </c>
      <c r="H706" s="9">
        <f t="shared" si="78"/>
        <v>17.472000000000005</v>
      </c>
      <c r="I706" s="36"/>
      <c r="J706" s="18"/>
      <c r="K706" s="19"/>
    </row>
    <row r="707" spans="2:11">
      <c r="B707" s="4"/>
      <c r="C707" s="6"/>
      <c r="D707" s="7">
        <v>1</v>
      </c>
      <c r="E707" s="8">
        <f>2.52+0.15+0.15</f>
        <v>2.82</v>
      </c>
      <c r="F707" s="8">
        <v>4</v>
      </c>
      <c r="G707" s="8">
        <v>0.99399999999999999</v>
      </c>
      <c r="H707" s="9">
        <f t="shared" si="78"/>
        <v>11.21232</v>
      </c>
      <c r="I707" s="36" t="s">
        <v>498</v>
      </c>
      <c r="J707" s="18" t="s">
        <v>146</v>
      </c>
      <c r="K707" s="19"/>
    </row>
    <row r="708" spans="2:11">
      <c r="B708" s="4"/>
      <c r="C708" s="6"/>
      <c r="D708" s="7">
        <v>1</v>
      </c>
      <c r="E708" s="8">
        <f>ROUND(12+((E707-0.3-1.1)/0.2),0)</f>
        <v>19</v>
      </c>
      <c r="F708" s="8">
        <v>0.7</v>
      </c>
      <c r="G708" s="8">
        <v>0.222</v>
      </c>
      <c r="H708" s="9">
        <f t="shared" si="78"/>
        <v>2.9525999999999999</v>
      </c>
      <c r="I708" s="36"/>
      <c r="J708" s="18"/>
      <c r="K708" s="19"/>
    </row>
    <row r="709" spans="2:11">
      <c r="B709" s="4"/>
      <c r="C709" s="6" t="s">
        <v>91</v>
      </c>
      <c r="D709" s="7">
        <v>1</v>
      </c>
      <c r="E709" s="8">
        <v>2.9</v>
      </c>
      <c r="F709" s="8">
        <v>4</v>
      </c>
      <c r="G709" s="8">
        <v>0.99</v>
      </c>
      <c r="H709" s="9">
        <f t="shared" si="78"/>
        <v>11.484</v>
      </c>
      <c r="I709" s="36" t="s">
        <v>500</v>
      </c>
      <c r="J709" s="18" t="s">
        <v>446</v>
      </c>
      <c r="K709" s="19"/>
    </row>
    <row r="710" spans="2:11">
      <c r="B710" s="4"/>
      <c r="C710" s="6"/>
      <c r="D710" s="7">
        <v>1</v>
      </c>
      <c r="E710" s="8">
        <f>ROUND(12+((E709-0.3-1.1)/0.2),0)</f>
        <v>20</v>
      </c>
      <c r="F710" s="8">
        <f>0.75+0.15</f>
        <v>0.9</v>
      </c>
      <c r="G710" s="8">
        <v>0.222</v>
      </c>
      <c r="H710" s="9">
        <f t="shared" si="78"/>
        <v>3.996</v>
      </c>
      <c r="I710" s="36"/>
      <c r="J710" s="18"/>
      <c r="K710" s="19"/>
    </row>
    <row r="711" spans="2:11">
      <c r="B711" s="4"/>
      <c r="C711" s="6" t="s">
        <v>90</v>
      </c>
      <c r="D711" s="7">
        <v>1</v>
      </c>
      <c r="E711" s="8">
        <f>5.05+0.15+0.15</f>
        <v>5.3500000000000005</v>
      </c>
      <c r="F711" s="8">
        <v>4</v>
      </c>
      <c r="G711" s="8">
        <v>1.55</v>
      </c>
      <c r="H711" s="9">
        <f t="shared" si="78"/>
        <v>33.17</v>
      </c>
      <c r="I711" s="36" t="s">
        <v>501</v>
      </c>
      <c r="J711" s="18" t="s">
        <v>502</v>
      </c>
      <c r="K711" s="19"/>
    </row>
    <row r="712" spans="2:11">
      <c r="B712" s="4"/>
      <c r="C712" s="6"/>
      <c r="D712" s="7">
        <v>1</v>
      </c>
      <c r="E712" s="8">
        <f>ROUND(18+((E711-0.3-1.7)/0.2),0)</f>
        <v>35</v>
      </c>
      <c r="F712" s="8">
        <v>1.3</v>
      </c>
      <c r="G712" s="8">
        <v>0.56000000000000005</v>
      </c>
      <c r="H712" s="9">
        <f t="shared" si="78"/>
        <v>25.480000000000004</v>
      </c>
      <c r="I712" s="36"/>
      <c r="J712" s="18"/>
      <c r="K712" s="19"/>
    </row>
    <row r="713" spans="2:11">
      <c r="B713" s="4"/>
      <c r="C713" s="6"/>
      <c r="D713" s="7">
        <v>1</v>
      </c>
      <c r="E713" s="8">
        <f>3.95+0.15+0.15</f>
        <v>4.2500000000000009</v>
      </c>
      <c r="F713" s="8">
        <v>4</v>
      </c>
      <c r="G713" s="8">
        <v>1.55</v>
      </c>
      <c r="H713" s="9">
        <f t="shared" si="78"/>
        <v>26.350000000000005</v>
      </c>
      <c r="I713" s="36" t="s">
        <v>501</v>
      </c>
      <c r="J713" s="18" t="s">
        <v>444</v>
      </c>
      <c r="K713" s="19"/>
    </row>
    <row r="714" spans="2:11">
      <c r="B714" s="4"/>
      <c r="C714" s="6"/>
      <c r="D714" s="7">
        <v>1</v>
      </c>
      <c r="E714" s="8">
        <f>ROUND(18+((E713-0.3-1.7)/0.2),0)</f>
        <v>29</v>
      </c>
      <c r="F714" s="8">
        <v>1.3</v>
      </c>
      <c r="G714" s="8">
        <v>0.56000000000000005</v>
      </c>
      <c r="H714" s="9">
        <f t="shared" si="78"/>
        <v>21.112000000000002</v>
      </c>
      <c r="I714" s="36"/>
      <c r="J714" s="18"/>
      <c r="K714" s="19"/>
    </row>
    <row r="715" spans="2:11">
      <c r="B715" s="4"/>
      <c r="C715" s="6"/>
      <c r="D715" s="7">
        <v>1</v>
      </c>
      <c r="E715" s="8">
        <f>2.3+0.15+0.15</f>
        <v>2.5999999999999996</v>
      </c>
      <c r="F715" s="8">
        <v>4</v>
      </c>
      <c r="G715" s="8">
        <v>1.55</v>
      </c>
      <c r="H715" s="9">
        <f t="shared" si="78"/>
        <v>16.119999999999997</v>
      </c>
      <c r="I715" s="36" t="s">
        <v>501</v>
      </c>
      <c r="J715" s="18" t="s">
        <v>445</v>
      </c>
      <c r="K715" s="19"/>
    </row>
    <row r="716" spans="2:11">
      <c r="B716" s="4"/>
      <c r="C716" s="6"/>
      <c r="D716" s="7">
        <v>1</v>
      </c>
      <c r="E716" s="8">
        <f>ROUND(18+((E715-0.3-1.7)/0.2),0)</f>
        <v>21</v>
      </c>
      <c r="F716" s="8">
        <v>1.3</v>
      </c>
      <c r="G716" s="8">
        <v>0.56000000000000005</v>
      </c>
      <c r="H716" s="9">
        <f t="shared" si="78"/>
        <v>15.288000000000002</v>
      </c>
      <c r="I716" s="36"/>
      <c r="J716" s="18"/>
      <c r="K716" s="19"/>
    </row>
    <row r="717" spans="2:11">
      <c r="B717" s="4"/>
      <c r="C717" s="6" t="s">
        <v>89</v>
      </c>
      <c r="D717" s="7">
        <v>1</v>
      </c>
      <c r="E717" s="8">
        <f>2.9+0.15+0.15</f>
        <v>3.1999999999999997</v>
      </c>
      <c r="F717" s="8">
        <v>4</v>
      </c>
      <c r="G717" s="8">
        <v>0.99</v>
      </c>
      <c r="H717" s="9">
        <f t="shared" si="78"/>
        <v>12.671999999999999</v>
      </c>
      <c r="I717" s="36" t="s">
        <v>500</v>
      </c>
      <c r="J717" s="18" t="s">
        <v>446</v>
      </c>
      <c r="K717" s="19"/>
    </row>
    <row r="718" spans="2:11">
      <c r="B718" s="4"/>
      <c r="C718" s="6"/>
      <c r="D718" s="7">
        <v>1</v>
      </c>
      <c r="E718" s="8">
        <f>ROUND(12+((E717-0.3-1.1)/0.2),0)</f>
        <v>21</v>
      </c>
      <c r="F718" s="8">
        <f>0.75+0.15</f>
        <v>0.9</v>
      </c>
      <c r="G718" s="8">
        <v>0.222</v>
      </c>
      <c r="H718" s="9">
        <f t="shared" si="78"/>
        <v>4.1958000000000002</v>
      </c>
      <c r="I718" s="36"/>
      <c r="J718" s="18"/>
      <c r="K718" s="19"/>
    </row>
    <row r="719" spans="2:11">
      <c r="B719" s="4"/>
      <c r="C719" s="6"/>
      <c r="D719" s="7">
        <v>1</v>
      </c>
      <c r="E719" s="8">
        <f>1.9+0.15+0.15</f>
        <v>2.1999999999999997</v>
      </c>
      <c r="F719" s="8">
        <v>4</v>
      </c>
      <c r="G719" s="8">
        <v>0.99</v>
      </c>
      <c r="H719" s="9">
        <f t="shared" si="78"/>
        <v>8.7119999999999997</v>
      </c>
      <c r="I719" s="36" t="s">
        <v>500</v>
      </c>
      <c r="J719" s="18" t="s">
        <v>443</v>
      </c>
      <c r="K719" s="19"/>
    </row>
    <row r="720" spans="2:11">
      <c r="B720" s="4"/>
      <c r="C720" s="6"/>
      <c r="D720" s="7">
        <v>1</v>
      </c>
      <c r="E720" s="8">
        <f>ROUND(12+((E719-0.3-1.1)/0.2),0)</f>
        <v>16</v>
      </c>
      <c r="F720" s="8">
        <f>0.75+0.15</f>
        <v>0.9</v>
      </c>
      <c r="G720" s="8">
        <v>0.222</v>
      </c>
      <c r="H720" s="9">
        <f t="shared" si="78"/>
        <v>3.1968000000000001</v>
      </c>
      <c r="I720" s="36"/>
      <c r="J720" s="18"/>
      <c r="K720" s="19"/>
    </row>
    <row r="721" spans="2:11">
      <c r="B721" s="4"/>
      <c r="C721" s="6"/>
      <c r="D721" s="7">
        <v>1</v>
      </c>
      <c r="E721" s="8">
        <f>3.95+0.15+0.15</f>
        <v>4.2500000000000009</v>
      </c>
      <c r="F721" s="8">
        <v>4</v>
      </c>
      <c r="G721" s="8">
        <v>0.99</v>
      </c>
      <c r="H721" s="9">
        <f t="shared" si="78"/>
        <v>16.830000000000002</v>
      </c>
      <c r="I721" s="36" t="s">
        <v>500</v>
      </c>
      <c r="J721" s="18" t="s">
        <v>444</v>
      </c>
      <c r="K721" s="19"/>
    </row>
    <row r="722" spans="2:11">
      <c r="B722" s="4"/>
      <c r="C722" s="6"/>
      <c r="D722" s="7">
        <v>1</v>
      </c>
      <c r="E722" s="8">
        <f>ROUND(12+((E721-0.3-1.1)/0.2),0)</f>
        <v>26</v>
      </c>
      <c r="F722" s="8">
        <f>0.75+0.15</f>
        <v>0.9</v>
      </c>
      <c r="G722" s="8">
        <v>0.222</v>
      </c>
      <c r="H722" s="9">
        <f t="shared" si="78"/>
        <v>5.1948000000000008</v>
      </c>
      <c r="I722" s="36"/>
      <c r="J722" s="18"/>
      <c r="K722" s="19"/>
    </row>
    <row r="723" spans="2:11">
      <c r="B723" s="4"/>
      <c r="C723" s="6" t="s">
        <v>503</v>
      </c>
      <c r="D723" s="7">
        <v>1</v>
      </c>
      <c r="E723" s="8">
        <f>3.95+0.15+0.15</f>
        <v>4.2500000000000009</v>
      </c>
      <c r="F723" s="8">
        <v>4</v>
      </c>
      <c r="G723" s="8">
        <v>0.99</v>
      </c>
      <c r="H723" s="9">
        <f t="shared" si="78"/>
        <v>16.830000000000002</v>
      </c>
      <c r="I723" s="36" t="s">
        <v>500</v>
      </c>
      <c r="J723" s="18" t="s">
        <v>444</v>
      </c>
      <c r="K723" s="19"/>
    </row>
    <row r="724" spans="2:11">
      <c r="B724" s="4"/>
      <c r="C724" s="6"/>
      <c r="D724" s="7">
        <v>1</v>
      </c>
      <c r="E724" s="8">
        <f>ROUND(12+((E723-0.3-1.1)/0.2),0)</f>
        <v>26</v>
      </c>
      <c r="F724" s="8">
        <f>0.75+0.15</f>
        <v>0.9</v>
      </c>
      <c r="G724" s="8">
        <v>0.222</v>
      </c>
      <c r="H724" s="9">
        <f t="shared" si="78"/>
        <v>5.1948000000000008</v>
      </c>
      <c r="I724" s="36"/>
      <c r="J724" s="18"/>
      <c r="K724" s="19"/>
    </row>
    <row r="725" spans="2:11">
      <c r="B725" s="4"/>
      <c r="C725" s="6"/>
      <c r="D725" s="7">
        <v>1</v>
      </c>
      <c r="E725" s="8">
        <f>2.3+0.15+0.15</f>
        <v>2.5999999999999996</v>
      </c>
      <c r="F725" s="8">
        <v>4</v>
      </c>
      <c r="G725" s="8">
        <v>0.99</v>
      </c>
      <c r="H725" s="9">
        <f t="shared" si="78"/>
        <v>10.295999999999999</v>
      </c>
      <c r="I725" s="36" t="s">
        <v>500</v>
      </c>
      <c r="J725" s="18" t="s">
        <v>445</v>
      </c>
      <c r="K725" s="19"/>
    </row>
    <row r="726" spans="2:11">
      <c r="B726" s="4"/>
      <c r="C726" s="6"/>
      <c r="D726" s="7">
        <v>1</v>
      </c>
      <c r="E726" s="8">
        <f>ROUND(12+((E725-0.3-1.1)/0.2),0)</f>
        <v>18</v>
      </c>
      <c r="F726" s="8">
        <f>0.75+0.15</f>
        <v>0.9</v>
      </c>
      <c r="G726" s="8">
        <v>0.222</v>
      </c>
      <c r="H726" s="9">
        <f t="shared" si="78"/>
        <v>3.5964</v>
      </c>
      <c r="I726" s="36"/>
      <c r="J726" s="18"/>
      <c r="K726" s="19"/>
    </row>
    <row r="727" spans="2:11">
      <c r="B727" s="4"/>
      <c r="C727" s="6" t="s">
        <v>449</v>
      </c>
      <c r="D727" s="7">
        <v>1</v>
      </c>
      <c r="E727" s="8">
        <f>2.81+0.15+0.15</f>
        <v>3.11</v>
      </c>
      <c r="F727" s="8">
        <v>4</v>
      </c>
      <c r="G727" s="8">
        <v>0.99</v>
      </c>
      <c r="H727" s="9">
        <f t="shared" si="78"/>
        <v>12.3156</v>
      </c>
      <c r="I727" s="36" t="s">
        <v>500</v>
      </c>
      <c r="J727" s="18" t="s">
        <v>80</v>
      </c>
      <c r="K727" s="19" t="s">
        <v>491</v>
      </c>
    </row>
    <row r="728" spans="2:11">
      <c r="B728" s="4"/>
      <c r="C728" s="6"/>
      <c r="D728" s="7">
        <v>1</v>
      </c>
      <c r="E728" s="8">
        <f>ROUND(12+((E727-0.3-1.1)/0.2),0)</f>
        <v>21</v>
      </c>
      <c r="F728" s="8">
        <f>0.75+0.15</f>
        <v>0.9</v>
      </c>
      <c r="G728" s="8">
        <v>0.222</v>
      </c>
      <c r="H728" s="9">
        <f t="shared" si="78"/>
        <v>4.1958000000000002</v>
      </c>
      <c r="I728" s="36"/>
      <c r="J728" s="18"/>
      <c r="K728" s="19"/>
    </row>
    <row r="729" spans="2:11">
      <c r="B729" s="4"/>
      <c r="C729" s="6"/>
      <c r="D729" s="7">
        <v>1</v>
      </c>
      <c r="E729" s="8">
        <f>1.23+0.15+0.15</f>
        <v>1.5299999999999998</v>
      </c>
      <c r="F729" s="8">
        <v>4</v>
      </c>
      <c r="G729" s="8">
        <v>0.99</v>
      </c>
      <c r="H729" s="9">
        <f t="shared" si="78"/>
        <v>6.0587999999999989</v>
      </c>
      <c r="I729" s="36" t="s">
        <v>500</v>
      </c>
      <c r="J729" s="18" t="s">
        <v>81</v>
      </c>
      <c r="K729" s="19"/>
    </row>
    <row r="730" spans="2:11">
      <c r="B730" s="4"/>
      <c r="C730" s="6"/>
      <c r="D730" s="7">
        <v>1</v>
      </c>
      <c r="E730" s="8">
        <f>ROUND(12+((E729-0.3-1.1)/0.2),0)</f>
        <v>13</v>
      </c>
      <c r="F730" s="8">
        <f>0.75+0.15</f>
        <v>0.9</v>
      </c>
      <c r="G730" s="8">
        <v>0.222</v>
      </c>
      <c r="H730" s="9">
        <f t="shared" si="78"/>
        <v>2.5974000000000004</v>
      </c>
      <c r="I730" s="36"/>
      <c r="J730" s="18"/>
      <c r="K730" s="19"/>
    </row>
    <row r="731" spans="2:11">
      <c r="B731" s="4"/>
      <c r="C731" t="s">
        <v>77</v>
      </c>
      <c r="D731" s="7">
        <v>1</v>
      </c>
      <c r="E731" s="8">
        <f>2.81+0.15+0.15</f>
        <v>3.11</v>
      </c>
      <c r="F731" s="8">
        <v>4</v>
      </c>
      <c r="G731" s="8">
        <v>0.99</v>
      </c>
      <c r="H731" s="9">
        <f t="shared" si="78"/>
        <v>12.3156</v>
      </c>
      <c r="I731" s="36" t="s">
        <v>500</v>
      </c>
      <c r="J731" s="18" t="s">
        <v>80</v>
      </c>
      <c r="K731" s="19"/>
    </row>
    <row r="732" spans="2:11">
      <c r="B732" s="4"/>
      <c r="C732" s="6"/>
      <c r="D732" s="7">
        <v>1</v>
      </c>
      <c r="E732" s="8">
        <f>ROUND(12+((E731-0.3-1.1)/0.2),0)</f>
        <v>21</v>
      </c>
      <c r="F732" s="8">
        <f>0.75+0.15</f>
        <v>0.9</v>
      </c>
      <c r="G732" s="8">
        <v>0.222</v>
      </c>
      <c r="H732" s="9">
        <f t="shared" si="78"/>
        <v>4.1958000000000002</v>
      </c>
      <c r="I732" s="36"/>
      <c r="J732" s="18"/>
      <c r="K732" s="19"/>
    </row>
    <row r="733" spans="2:11">
      <c r="B733" s="4"/>
      <c r="C733" s="6"/>
      <c r="D733" s="7">
        <v>1</v>
      </c>
      <c r="E733" s="8"/>
      <c r="F733" s="8"/>
      <c r="G733" s="8"/>
      <c r="H733" s="9"/>
      <c r="I733" s="36"/>
      <c r="J733" s="18"/>
      <c r="K733" s="19"/>
    </row>
    <row r="734" spans="2:11">
      <c r="B734" s="4"/>
      <c r="C734" s="6"/>
      <c r="D734" s="7">
        <v>1</v>
      </c>
      <c r="E734" s="8">
        <f>1.23+0.15+0.15</f>
        <v>1.5299999999999998</v>
      </c>
      <c r="F734" s="8">
        <v>4</v>
      </c>
      <c r="G734" s="8">
        <v>0.99</v>
      </c>
      <c r="H734" s="9">
        <f t="shared" si="78"/>
        <v>6.0587999999999989</v>
      </c>
      <c r="I734" s="36" t="s">
        <v>500</v>
      </c>
      <c r="J734" s="18" t="s">
        <v>81</v>
      </c>
      <c r="K734" s="19"/>
    </row>
    <row r="735" spans="2:11">
      <c r="B735" s="4"/>
      <c r="C735" s="6"/>
      <c r="D735" s="7">
        <v>1</v>
      </c>
      <c r="E735" s="8">
        <f>ROUND(12+((E734-0.3-1.1)/0.2),0)</f>
        <v>13</v>
      </c>
      <c r="F735" s="8">
        <f>0.75+0.15</f>
        <v>0.9</v>
      </c>
      <c r="G735" s="8">
        <v>0.222</v>
      </c>
      <c r="H735" s="9">
        <f t="shared" si="78"/>
        <v>2.5974000000000004</v>
      </c>
      <c r="I735" s="36"/>
      <c r="J735" s="18"/>
      <c r="K735" s="19"/>
    </row>
    <row r="736" spans="2:11">
      <c r="B736" s="4"/>
      <c r="C736" s="6" t="s">
        <v>82</v>
      </c>
      <c r="D736" s="7">
        <v>1</v>
      </c>
      <c r="E736" s="8">
        <f>2.81+0.15+0.15</f>
        <v>3.11</v>
      </c>
      <c r="F736" s="8">
        <v>4</v>
      </c>
      <c r="G736" s="8">
        <v>0.99</v>
      </c>
      <c r="H736" s="9">
        <f t="shared" si="78"/>
        <v>12.3156</v>
      </c>
      <c r="I736" s="36" t="s">
        <v>500</v>
      </c>
      <c r="J736" s="18" t="s">
        <v>80</v>
      </c>
      <c r="K736" s="19"/>
    </row>
    <row r="737" spans="2:11">
      <c r="B737" s="4"/>
      <c r="C737" s="6"/>
      <c r="D737" s="7">
        <v>1</v>
      </c>
      <c r="E737" s="8">
        <f>ROUND(12+((E736-0.3-1.1)/0.2),0)</f>
        <v>21</v>
      </c>
      <c r="F737" s="8">
        <f>0.75+0.15</f>
        <v>0.9</v>
      </c>
      <c r="G737" s="8">
        <v>0.222</v>
      </c>
      <c r="H737" s="9">
        <f t="shared" si="78"/>
        <v>4.1958000000000002</v>
      </c>
      <c r="I737" s="36"/>
      <c r="J737" s="18"/>
      <c r="K737" s="19"/>
    </row>
    <row r="738" spans="2:11">
      <c r="B738" s="4"/>
      <c r="C738" s="6"/>
      <c r="D738" s="7">
        <v>1</v>
      </c>
      <c r="E738" s="8">
        <f>0.15+0.15+2.51</f>
        <v>2.8099999999999996</v>
      </c>
      <c r="F738" s="8">
        <v>4</v>
      </c>
      <c r="G738" s="8">
        <v>0.99</v>
      </c>
      <c r="H738" s="9">
        <f t="shared" si="78"/>
        <v>11.127599999999997</v>
      </c>
      <c r="I738" s="36" t="s">
        <v>486</v>
      </c>
      <c r="J738" s="18" t="s">
        <v>79</v>
      </c>
      <c r="K738" s="19"/>
    </row>
    <row r="739" spans="2:11">
      <c r="B739" s="4"/>
      <c r="C739" s="6"/>
      <c r="D739" s="7">
        <v>1</v>
      </c>
      <c r="E739" s="8">
        <f>ROUND(12+((E738-0.3-1.1)/0.2),0)</f>
        <v>19</v>
      </c>
      <c r="F739" s="8">
        <f>0.75+0.15</f>
        <v>0.9</v>
      </c>
      <c r="G739" s="8">
        <v>0.222</v>
      </c>
      <c r="H739" s="9">
        <f t="shared" si="78"/>
        <v>3.7962000000000002</v>
      </c>
      <c r="I739" s="36"/>
      <c r="J739" s="18"/>
      <c r="K739" s="19"/>
    </row>
    <row r="740" spans="2:11">
      <c r="B740" s="4"/>
      <c r="C740" s="6"/>
      <c r="D740" s="7">
        <v>1</v>
      </c>
      <c r="E740" s="8">
        <f>4.53+0.15+0.15</f>
        <v>4.830000000000001</v>
      </c>
      <c r="F740" s="8">
        <v>4</v>
      </c>
      <c r="G740" s="8">
        <v>0.99</v>
      </c>
      <c r="H740" s="9">
        <f t="shared" si="78"/>
        <v>19.126800000000003</v>
      </c>
      <c r="I740" s="36" t="s">
        <v>486</v>
      </c>
      <c r="J740" s="18" t="s">
        <v>448</v>
      </c>
      <c r="K740" s="19"/>
    </row>
    <row r="741" spans="2:11">
      <c r="B741" s="4"/>
      <c r="C741" s="6"/>
      <c r="D741" s="7">
        <v>1</v>
      </c>
      <c r="E741" s="8">
        <f>ROUND(12+((E740-0.3-1.1)/0.2),0)</f>
        <v>29</v>
      </c>
      <c r="F741" s="8">
        <f>0.75+0.15</f>
        <v>0.9</v>
      </c>
      <c r="G741" s="8">
        <v>0.222</v>
      </c>
      <c r="H741" s="9">
        <f t="shared" si="78"/>
        <v>5.7942</v>
      </c>
      <c r="I741" s="36"/>
      <c r="J741" s="18"/>
      <c r="K741" s="19"/>
    </row>
    <row r="742" spans="2:11">
      <c r="B742" s="4"/>
      <c r="C742" s="6" t="s">
        <v>452</v>
      </c>
      <c r="D742" s="7">
        <v>1</v>
      </c>
      <c r="E742" s="8">
        <f>2.51+0.15+0.15</f>
        <v>2.8099999999999996</v>
      </c>
      <c r="F742" s="8">
        <v>4</v>
      </c>
      <c r="G742" s="8">
        <v>0.99</v>
      </c>
      <c r="H742" s="9">
        <f t="shared" si="78"/>
        <v>11.127599999999997</v>
      </c>
      <c r="I742" s="36" t="s">
        <v>486</v>
      </c>
      <c r="J742" s="18" t="s">
        <v>79</v>
      </c>
      <c r="K742" s="19"/>
    </row>
    <row r="743" spans="2:11">
      <c r="B743" s="4"/>
      <c r="C743" s="6"/>
      <c r="D743" s="7">
        <v>1</v>
      </c>
      <c r="E743" s="8">
        <f>ROUND(12+((E742-0.3-1.1)/0.2),0)</f>
        <v>19</v>
      </c>
      <c r="F743" s="8">
        <f>0.75+0.15</f>
        <v>0.9</v>
      </c>
      <c r="G743" s="8">
        <v>0.222</v>
      </c>
      <c r="H743" s="9">
        <f t="shared" si="78"/>
        <v>3.7962000000000002</v>
      </c>
      <c r="I743" s="36"/>
      <c r="J743" s="18"/>
      <c r="K743" s="19"/>
    </row>
    <row r="744" spans="2:11">
      <c r="B744" s="4"/>
      <c r="C744" s="30"/>
      <c r="D744" s="7">
        <v>1</v>
      </c>
      <c r="E744" s="8">
        <f>4.53+0.15+0.15</f>
        <v>4.830000000000001</v>
      </c>
      <c r="F744" s="8">
        <v>4</v>
      </c>
      <c r="G744" s="8">
        <v>0.99</v>
      </c>
      <c r="H744" s="9">
        <f t="shared" si="78"/>
        <v>19.126800000000003</v>
      </c>
      <c r="I744" s="36" t="s">
        <v>486</v>
      </c>
      <c r="J744" s="18" t="s">
        <v>448</v>
      </c>
      <c r="K744" s="19"/>
    </row>
    <row r="745" spans="2:11">
      <c r="B745" s="4"/>
      <c r="C745" s="39"/>
      <c r="D745" s="7">
        <v>1</v>
      </c>
      <c r="E745" s="8">
        <f>ROUND(12+((E744-0.3-1.1)/0.2),0)</f>
        <v>29</v>
      </c>
      <c r="F745" s="8">
        <f>0.75+0.15</f>
        <v>0.9</v>
      </c>
      <c r="G745" s="8">
        <v>0.222</v>
      </c>
      <c r="H745" s="9">
        <f t="shared" si="78"/>
        <v>5.7942</v>
      </c>
      <c r="I745" s="36"/>
      <c r="J745" s="18"/>
      <c r="K745" s="19"/>
    </row>
    <row r="746" spans="2:11">
      <c r="B746" s="4"/>
      <c r="C746" s="125" t="s">
        <v>87</v>
      </c>
      <c r="D746" s="7">
        <v>1</v>
      </c>
      <c r="E746" s="8">
        <f>2.81+0.15+0.15</f>
        <v>3.11</v>
      </c>
      <c r="F746" s="8">
        <v>4</v>
      </c>
      <c r="G746" s="8">
        <v>0.99</v>
      </c>
      <c r="H746" s="9">
        <f t="shared" si="78"/>
        <v>12.3156</v>
      </c>
      <c r="I746" s="36" t="s">
        <v>500</v>
      </c>
      <c r="J746" s="18" t="s">
        <v>80</v>
      </c>
      <c r="K746" s="19"/>
    </row>
    <row r="747" spans="2:11">
      <c r="B747" s="4"/>
      <c r="C747" s="125"/>
      <c r="D747" s="7">
        <v>1</v>
      </c>
      <c r="E747" s="8">
        <f>ROUND(12+((E746-0.3-1.1)/0.2),0)</f>
        <v>21</v>
      </c>
      <c r="F747" s="8">
        <f>0.75+0.15</f>
        <v>0.9</v>
      </c>
      <c r="G747" s="8">
        <v>0.222</v>
      </c>
      <c r="H747" s="9">
        <f t="shared" si="78"/>
        <v>4.1958000000000002</v>
      </c>
      <c r="I747" s="36"/>
      <c r="J747" s="18"/>
      <c r="K747" s="19"/>
    </row>
    <row r="748" spans="2:11">
      <c r="B748" s="4"/>
      <c r="C748" s="125" t="s">
        <v>88</v>
      </c>
      <c r="D748" s="7">
        <v>1</v>
      </c>
      <c r="E748" s="8">
        <f>2.81+0.15+0.15</f>
        <v>3.11</v>
      </c>
      <c r="F748" s="8">
        <v>4</v>
      </c>
      <c r="G748" s="8">
        <v>0.99</v>
      </c>
      <c r="H748" s="9">
        <f t="shared" si="78"/>
        <v>12.3156</v>
      </c>
      <c r="I748" s="36" t="s">
        <v>500</v>
      </c>
      <c r="J748" s="18" t="s">
        <v>80</v>
      </c>
      <c r="K748" s="19"/>
    </row>
    <row r="749" spans="2:11">
      <c r="B749" s="4"/>
      <c r="C749" s="125"/>
      <c r="D749" s="7">
        <v>1</v>
      </c>
      <c r="E749" s="8">
        <f>ROUND(12+((E748-0.3-1.1)/0.2),0)</f>
        <v>21</v>
      </c>
      <c r="F749" s="8">
        <f>0.75+0.15</f>
        <v>0.9</v>
      </c>
      <c r="G749" s="8">
        <v>0.222</v>
      </c>
      <c r="H749" s="9">
        <f t="shared" si="78"/>
        <v>4.1958000000000002</v>
      </c>
      <c r="I749" s="36"/>
      <c r="J749" s="18"/>
      <c r="K749" s="19"/>
    </row>
    <row r="750" spans="2:11">
      <c r="B750" s="4"/>
      <c r="C750" s="39"/>
      <c r="D750" s="7">
        <v>1</v>
      </c>
      <c r="E750" s="8">
        <f>2.51+0.15+0.15</f>
        <v>2.8099999999999996</v>
      </c>
      <c r="F750" s="8">
        <v>4</v>
      </c>
      <c r="G750" s="8">
        <v>0.99</v>
      </c>
      <c r="H750" s="9">
        <f t="shared" si="78"/>
        <v>11.127599999999997</v>
      </c>
      <c r="I750" s="36" t="s">
        <v>486</v>
      </c>
      <c r="J750" s="18" t="s">
        <v>79</v>
      </c>
      <c r="K750" s="19"/>
    </row>
    <row r="751" spans="2:11">
      <c r="B751" s="4"/>
      <c r="C751" s="39"/>
      <c r="D751" s="7">
        <v>1</v>
      </c>
      <c r="E751" s="8">
        <f>ROUND(12+((E750-0.3-1.1)/0.2),0)</f>
        <v>19</v>
      </c>
      <c r="F751" s="8">
        <f>0.75+0.15</f>
        <v>0.9</v>
      </c>
      <c r="G751" s="8">
        <v>0.222</v>
      </c>
      <c r="H751" s="9">
        <f t="shared" si="78"/>
        <v>3.7962000000000002</v>
      </c>
      <c r="I751" s="36"/>
      <c r="J751" s="18"/>
      <c r="K751" s="19"/>
    </row>
    <row r="752" spans="2:11">
      <c r="B752" s="4"/>
      <c r="C752" s="39"/>
      <c r="D752" s="7">
        <v>1</v>
      </c>
      <c r="E752" s="8">
        <f>4.53+0.15+0.15</f>
        <v>4.830000000000001</v>
      </c>
      <c r="F752" s="8">
        <v>4</v>
      </c>
      <c r="G752" s="8">
        <v>0.99</v>
      </c>
      <c r="H752" s="9">
        <f t="shared" si="78"/>
        <v>19.126800000000003</v>
      </c>
      <c r="I752" s="36" t="s">
        <v>486</v>
      </c>
      <c r="J752" s="18" t="s">
        <v>448</v>
      </c>
      <c r="K752" s="19"/>
    </row>
    <row r="753" spans="2:11">
      <c r="B753" s="4"/>
      <c r="C753" s="39"/>
      <c r="D753" s="7">
        <v>1</v>
      </c>
      <c r="E753" s="8">
        <f>ROUND(12+((E752-0.3-1.1)/0.2),0)</f>
        <v>29</v>
      </c>
      <c r="F753" s="8">
        <f>0.75+0.15</f>
        <v>0.9</v>
      </c>
      <c r="G753" s="8">
        <v>0.222</v>
      </c>
      <c r="H753" s="9">
        <f t="shared" ref="H753:H758" si="79">PRODUCT(D753:G753)</f>
        <v>5.7942</v>
      </c>
      <c r="I753" s="36"/>
      <c r="J753" s="18"/>
      <c r="K753" s="19"/>
    </row>
    <row r="754" spans="2:11">
      <c r="B754" s="4"/>
      <c r="C754" s="39"/>
      <c r="D754" s="7"/>
      <c r="E754" s="8"/>
      <c r="F754" s="8"/>
      <c r="G754" s="8"/>
      <c r="H754" s="9"/>
      <c r="I754" s="36"/>
      <c r="J754" s="18"/>
      <c r="K754" s="19"/>
    </row>
    <row r="755" spans="2:11">
      <c r="B755" s="4"/>
      <c r="C755" s="125" t="s">
        <v>504</v>
      </c>
      <c r="D755" s="7">
        <v>1</v>
      </c>
      <c r="E755" s="8">
        <v>1.2</v>
      </c>
      <c r="F755" s="8">
        <v>4</v>
      </c>
      <c r="G755" s="8">
        <v>0.99</v>
      </c>
      <c r="H755" s="9">
        <f t="shared" si="79"/>
        <v>4.7519999999999998</v>
      </c>
      <c r="I755" s="36" t="s">
        <v>498</v>
      </c>
      <c r="J755" s="18"/>
      <c r="K755" s="19"/>
    </row>
    <row r="756" spans="2:11">
      <c r="B756" s="4"/>
      <c r="C756" s="125"/>
      <c r="D756" s="7">
        <v>1</v>
      </c>
      <c r="E756" s="8">
        <f>ROUND(12+((E755-0.3-1.1)/0.2),0)</f>
        <v>11</v>
      </c>
      <c r="F756" s="8">
        <v>0.7</v>
      </c>
      <c r="G756" s="8">
        <v>0.222</v>
      </c>
      <c r="H756" s="9">
        <f t="shared" si="79"/>
        <v>1.7093999999999998</v>
      </c>
      <c r="I756" s="36"/>
      <c r="J756" s="18"/>
      <c r="K756" s="19"/>
    </row>
    <row r="757" spans="2:11">
      <c r="B757" s="4"/>
      <c r="C757" s="125"/>
      <c r="D757" s="7">
        <v>1</v>
      </c>
      <c r="E757" s="8">
        <v>1.2</v>
      </c>
      <c r="F757" s="8">
        <v>4</v>
      </c>
      <c r="G757" s="8">
        <v>0.99</v>
      </c>
      <c r="H757" s="9">
        <f t="shared" si="79"/>
        <v>4.7519999999999998</v>
      </c>
      <c r="I757" s="36" t="s">
        <v>498</v>
      </c>
      <c r="J757" s="18"/>
      <c r="K757" s="19"/>
    </row>
    <row r="758" spans="2:11">
      <c r="B758" s="4"/>
      <c r="C758" s="125"/>
      <c r="D758" s="7">
        <v>1</v>
      </c>
      <c r="E758" s="8">
        <f>ROUND(12+((E757-0.3-1.1)/0.2),0)</f>
        <v>11</v>
      </c>
      <c r="F758" s="8">
        <v>0.7</v>
      </c>
      <c r="G758" s="8">
        <v>0.222</v>
      </c>
      <c r="H758" s="9">
        <f t="shared" si="79"/>
        <v>1.7093999999999998</v>
      </c>
      <c r="I758" s="36"/>
      <c r="J758" s="18"/>
      <c r="K758" s="19"/>
    </row>
    <row r="759" spans="2:11">
      <c r="B759" s="4"/>
      <c r="C759" s="125"/>
      <c r="D759" s="7"/>
      <c r="E759" s="8"/>
      <c r="F759" s="8"/>
      <c r="G759" s="8"/>
      <c r="H759" s="9"/>
      <c r="I759" s="36"/>
      <c r="J759" s="18"/>
      <c r="K759" s="19"/>
    </row>
    <row r="760" spans="2:11">
      <c r="B760" s="4"/>
      <c r="C760" s="125"/>
      <c r="D760" s="7">
        <v>2</v>
      </c>
      <c r="E760" s="8">
        <v>1.2</v>
      </c>
      <c r="F760" s="8">
        <v>4</v>
      </c>
      <c r="G760" s="8">
        <v>0.99</v>
      </c>
      <c r="H760" s="9">
        <f t="shared" ref="H760:H763" si="80">PRODUCT(D760:G760)</f>
        <v>9.5039999999999996</v>
      </c>
      <c r="I760" s="36" t="s">
        <v>498</v>
      </c>
      <c r="J760" s="18"/>
      <c r="K760" s="19"/>
    </row>
    <row r="761" spans="2:11">
      <c r="B761" s="4"/>
      <c r="C761" s="125"/>
      <c r="D761" s="7">
        <v>2</v>
      </c>
      <c r="E761" s="8">
        <f>ROUND(12+((E760-0.3-1.1)/0.2),0)</f>
        <v>11</v>
      </c>
      <c r="F761" s="8">
        <v>0.7</v>
      </c>
      <c r="G761" s="8">
        <v>0.222</v>
      </c>
      <c r="H761" s="9">
        <f t="shared" si="80"/>
        <v>3.4187999999999996</v>
      </c>
      <c r="I761" s="36"/>
      <c r="J761" s="18"/>
      <c r="K761" s="19"/>
    </row>
    <row r="762" spans="2:11">
      <c r="B762" s="4"/>
      <c r="C762" s="125"/>
      <c r="D762" s="7">
        <v>2</v>
      </c>
      <c r="E762" s="8">
        <v>1.2</v>
      </c>
      <c r="F762" s="8">
        <v>4</v>
      </c>
      <c r="G762" s="8">
        <v>0.99</v>
      </c>
      <c r="H762" s="9">
        <f t="shared" si="80"/>
        <v>9.5039999999999996</v>
      </c>
      <c r="I762" s="36" t="s">
        <v>498</v>
      </c>
      <c r="J762" s="18"/>
      <c r="K762" s="19"/>
    </row>
    <row r="763" spans="2:11">
      <c r="B763" s="4"/>
      <c r="C763" s="125"/>
      <c r="D763" s="7">
        <v>2</v>
      </c>
      <c r="E763" s="8">
        <f>ROUND(12+((E762-0.3-1.1)/0.2),0)</f>
        <v>11</v>
      </c>
      <c r="F763" s="8">
        <v>0.7</v>
      </c>
      <c r="G763" s="8">
        <v>0.222</v>
      </c>
      <c r="H763" s="9">
        <f t="shared" si="80"/>
        <v>3.4187999999999996</v>
      </c>
      <c r="I763" s="36"/>
      <c r="J763" s="18"/>
      <c r="K763" s="19"/>
    </row>
    <row r="764" spans="2:11">
      <c r="B764" s="4"/>
      <c r="C764" s="125" t="s">
        <v>505</v>
      </c>
      <c r="D764" s="7"/>
      <c r="E764" s="8"/>
      <c r="F764" s="8"/>
      <c r="G764" s="8"/>
      <c r="H764" s="9"/>
      <c r="I764" s="36"/>
      <c r="J764" s="18"/>
      <c r="K764" s="19"/>
    </row>
    <row r="765" spans="2:11">
      <c r="B765" s="4"/>
      <c r="C765" s="125" t="s">
        <v>435</v>
      </c>
      <c r="D765" s="7">
        <v>1</v>
      </c>
      <c r="E765" s="8">
        <f>4.15+0.15+0.15</f>
        <v>4.4500000000000011</v>
      </c>
      <c r="F765" s="8">
        <v>4</v>
      </c>
      <c r="G765" s="8">
        <v>0.99</v>
      </c>
      <c r="H765" s="9">
        <f>PRODUCT(D765:G765)</f>
        <v>17.622000000000003</v>
      </c>
      <c r="I765" s="36" t="s">
        <v>506</v>
      </c>
      <c r="J765" s="18" t="s">
        <v>487</v>
      </c>
      <c r="K765" s="19" t="s">
        <v>507</v>
      </c>
    </row>
    <row r="766" spans="2:11">
      <c r="B766" s="4"/>
      <c r="C766" s="125"/>
      <c r="D766" s="7">
        <v>1</v>
      </c>
      <c r="E766" s="8">
        <f>ROUND(12+((E765-0.3-1.1)/0.2),0)</f>
        <v>27</v>
      </c>
      <c r="F766" s="8">
        <v>0.7</v>
      </c>
      <c r="G766" s="8">
        <v>0.222</v>
      </c>
      <c r="H766" s="9">
        <f t="shared" ref="H766:H809" si="81">PRODUCT(D766:G766)</f>
        <v>4.1957999999999993</v>
      </c>
      <c r="I766" s="36"/>
      <c r="J766" s="18"/>
      <c r="K766" s="19"/>
    </row>
    <row r="767" spans="2:11">
      <c r="B767" s="4"/>
      <c r="C767" s="125"/>
      <c r="D767" s="7">
        <v>1</v>
      </c>
      <c r="E767" s="8">
        <f>4.05+0.15+0.153</f>
        <v>4.3529999999999998</v>
      </c>
      <c r="F767" s="8">
        <v>4</v>
      </c>
      <c r="G767" s="8">
        <v>0.99</v>
      </c>
      <c r="H767" s="9">
        <f t="shared" si="81"/>
        <v>17.237880000000001</v>
      </c>
      <c r="I767" s="36" t="s">
        <v>506</v>
      </c>
      <c r="J767" s="18" t="s">
        <v>489</v>
      </c>
      <c r="K767" s="19"/>
    </row>
    <row r="768" spans="2:11">
      <c r="B768" s="4"/>
      <c r="C768" s="125"/>
      <c r="D768" s="7">
        <v>1</v>
      </c>
      <c r="E768" s="8">
        <f>ROUND(12+((E767-0.3-1.1)/0.2),0)</f>
        <v>27</v>
      </c>
      <c r="F768" s="8">
        <v>0.7</v>
      </c>
      <c r="G768" s="8">
        <v>0.222</v>
      </c>
      <c r="H768" s="9">
        <f t="shared" si="81"/>
        <v>4.1957999999999993</v>
      </c>
      <c r="I768" s="36"/>
      <c r="J768" s="18"/>
      <c r="K768" s="19"/>
    </row>
    <row r="769" spans="2:11">
      <c r="B769" s="4"/>
      <c r="C769" s="125"/>
      <c r="D769" s="7">
        <v>1</v>
      </c>
      <c r="E769" s="8">
        <f>3.35+0.15+0.15</f>
        <v>3.65</v>
      </c>
      <c r="F769" s="8">
        <v>4</v>
      </c>
      <c r="G769" s="8">
        <v>0.99</v>
      </c>
      <c r="H769" s="9">
        <f t="shared" si="81"/>
        <v>14.453999999999999</v>
      </c>
      <c r="I769" s="36" t="s">
        <v>506</v>
      </c>
      <c r="J769" s="18" t="s">
        <v>438</v>
      </c>
      <c r="K769" s="19"/>
    </row>
    <row r="770" spans="2:11">
      <c r="B770" s="4"/>
      <c r="C770" s="125"/>
      <c r="D770" s="7">
        <v>1</v>
      </c>
      <c r="E770" s="8">
        <f>ROUND(12+((E769-0.3-1.1)/0.2),0)</f>
        <v>23</v>
      </c>
      <c r="F770" s="8">
        <v>0.7</v>
      </c>
      <c r="G770" s="8">
        <v>0.222</v>
      </c>
      <c r="H770" s="9">
        <f t="shared" si="81"/>
        <v>3.5741999999999994</v>
      </c>
      <c r="I770" s="36"/>
      <c r="J770" s="18"/>
      <c r="K770" s="19"/>
    </row>
    <row r="771" spans="2:11">
      <c r="B771" s="4"/>
      <c r="C771" s="125"/>
      <c r="D771" s="7">
        <v>1</v>
      </c>
      <c r="E771" s="8">
        <f>2.9+0.15+0.15</f>
        <v>3.1999999999999997</v>
      </c>
      <c r="F771" s="8">
        <v>4</v>
      </c>
      <c r="G771" s="8">
        <v>0.99</v>
      </c>
      <c r="H771" s="9">
        <f t="shared" si="81"/>
        <v>12.671999999999999</v>
      </c>
      <c r="I771" s="36" t="s">
        <v>506</v>
      </c>
      <c r="J771" s="18" t="s">
        <v>439</v>
      </c>
      <c r="K771" s="19"/>
    </row>
    <row r="772" spans="2:11">
      <c r="B772" s="4"/>
      <c r="C772" s="125"/>
      <c r="D772" s="7">
        <v>1</v>
      </c>
      <c r="E772" s="8">
        <f>ROUND(12+((E771-0.3-1.1)/0.2),0)</f>
        <v>21</v>
      </c>
      <c r="F772" s="8">
        <v>0.7</v>
      </c>
      <c r="G772" s="8">
        <v>0.222</v>
      </c>
      <c r="H772" s="9">
        <f t="shared" si="81"/>
        <v>3.2633999999999999</v>
      </c>
      <c r="I772" s="36"/>
      <c r="J772" s="18"/>
      <c r="K772" s="19"/>
    </row>
    <row r="773" spans="2:11">
      <c r="B773" s="4"/>
      <c r="C773" s="125" t="s">
        <v>92</v>
      </c>
      <c r="D773" s="7">
        <v>1</v>
      </c>
      <c r="E773" s="8">
        <f>4.15+0.15+0.15</f>
        <v>4.4500000000000011</v>
      </c>
      <c r="F773" s="8">
        <v>4</v>
      </c>
      <c r="G773" s="8">
        <v>0.99</v>
      </c>
      <c r="H773" s="9">
        <f t="shared" si="81"/>
        <v>17.622000000000003</v>
      </c>
      <c r="I773" s="36" t="s">
        <v>506</v>
      </c>
      <c r="J773" s="18" t="s">
        <v>487</v>
      </c>
      <c r="K773" s="19"/>
    </row>
    <row r="774" spans="2:11">
      <c r="B774" s="4"/>
      <c r="C774" s="125"/>
      <c r="D774" s="7">
        <v>1</v>
      </c>
      <c r="E774" s="8">
        <f>ROUND(12+((E773-0.3-1.1)/0.2),0)</f>
        <v>27</v>
      </c>
      <c r="F774" s="8">
        <v>0.7</v>
      </c>
      <c r="G774" s="8">
        <v>0.222</v>
      </c>
      <c r="H774" s="9">
        <f t="shared" si="81"/>
        <v>4.1957999999999993</v>
      </c>
      <c r="I774" s="36"/>
      <c r="J774" s="18"/>
      <c r="K774" s="19" t="s">
        <v>427</v>
      </c>
    </row>
    <row r="775" spans="2:11">
      <c r="B775" s="4"/>
      <c r="C775" s="125"/>
      <c r="D775" s="7">
        <v>1</v>
      </c>
      <c r="E775" s="8">
        <f>2+0.15+0.15</f>
        <v>2.2999999999999998</v>
      </c>
      <c r="F775" s="8">
        <v>4</v>
      </c>
      <c r="G775" s="8">
        <v>0.99</v>
      </c>
      <c r="H775" s="9">
        <f t="shared" si="81"/>
        <v>9.1079999999999988</v>
      </c>
      <c r="I775" s="36" t="s">
        <v>506</v>
      </c>
      <c r="J775" s="18" t="s">
        <v>489</v>
      </c>
      <c r="K775" s="19"/>
    </row>
    <row r="776" spans="2:11">
      <c r="B776" s="4"/>
      <c r="C776" s="125"/>
      <c r="D776" s="7">
        <v>1</v>
      </c>
      <c r="E776" s="8">
        <f>ROUND(12+((E775-0.3-1.1)/0.2),0)</f>
        <v>17</v>
      </c>
      <c r="F776" s="8">
        <v>0.7</v>
      </c>
      <c r="G776" s="8">
        <v>0.222</v>
      </c>
      <c r="H776" s="9">
        <f t="shared" si="81"/>
        <v>2.6417999999999999</v>
      </c>
      <c r="I776" s="36"/>
      <c r="J776" s="18"/>
      <c r="K776" s="19"/>
    </row>
    <row r="777" spans="2:11">
      <c r="B777" s="4"/>
      <c r="C777" s="125"/>
      <c r="D777" s="7">
        <v>1</v>
      </c>
      <c r="E777" s="8">
        <f>3.35+0.15+0.15</f>
        <v>3.65</v>
      </c>
      <c r="F777" s="8">
        <v>4</v>
      </c>
      <c r="G777" s="8">
        <v>0.99</v>
      </c>
      <c r="H777" s="9">
        <f t="shared" si="81"/>
        <v>14.453999999999999</v>
      </c>
      <c r="I777" s="36" t="s">
        <v>506</v>
      </c>
      <c r="J777" s="18" t="s">
        <v>438</v>
      </c>
      <c r="K777" s="19"/>
    </row>
    <row r="778" spans="2:11">
      <c r="B778" s="4"/>
      <c r="C778" s="125"/>
      <c r="D778" s="7">
        <v>1</v>
      </c>
      <c r="E778" s="8">
        <f>ROUND(12+((E777-0.3-1.1)/0.2),0)</f>
        <v>23</v>
      </c>
      <c r="F778" s="8">
        <v>0.7</v>
      </c>
      <c r="G778" s="8">
        <v>0.222</v>
      </c>
      <c r="H778" s="9">
        <f t="shared" si="81"/>
        <v>3.5741999999999994</v>
      </c>
      <c r="I778" s="36"/>
      <c r="J778" s="18"/>
      <c r="K778" s="19"/>
    </row>
    <row r="779" spans="2:11">
      <c r="B779" s="4"/>
      <c r="C779" s="125" t="s">
        <v>91</v>
      </c>
      <c r="D779" s="7">
        <v>1</v>
      </c>
      <c r="E779" s="8">
        <f>2.9+0.15+0.15</f>
        <v>3.1999999999999997</v>
      </c>
      <c r="F779" s="8">
        <v>4</v>
      </c>
      <c r="G779" s="8">
        <v>0.99</v>
      </c>
      <c r="H779" s="9">
        <f t="shared" si="81"/>
        <v>12.671999999999999</v>
      </c>
      <c r="I779" s="36" t="s">
        <v>506</v>
      </c>
      <c r="J779" s="18" t="s">
        <v>446</v>
      </c>
      <c r="K779" s="19"/>
    </row>
    <row r="780" spans="2:11">
      <c r="B780" s="4"/>
      <c r="C780" s="125"/>
      <c r="D780" s="7">
        <v>1</v>
      </c>
      <c r="E780" s="8">
        <f>ROUND(12+((E779-0.3-1.1)/0.2),0)</f>
        <v>21</v>
      </c>
      <c r="F780" s="8">
        <v>0.7</v>
      </c>
      <c r="G780" s="8">
        <v>0.222</v>
      </c>
      <c r="H780" s="9">
        <f t="shared" si="81"/>
        <v>3.2633999999999999</v>
      </c>
      <c r="I780" s="36"/>
      <c r="J780" s="18"/>
      <c r="K780" s="19"/>
    </row>
    <row r="781" spans="2:11">
      <c r="B781" s="4"/>
      <c r="C781" s="6" t="s">
        <v>89</v>
      </c>
      <c r="D781" s="7">
        <v>1</v>
      </c>
      <c r="E781" s="8">
        <f>2.9+0.15+0.15</f>
        <v>3.1999999999999997</v>
      </c>
      <c r="F781" s="8">
        <v>4</v>
      </c>
      <c r="G781" s="8">
        <v>0.99</v>
      </c>
      <c r="H781" s="9">
        <f t="shared" si="81"/>
        <v>12.671999999999999</v>
      </c>
      <c r="I781" s="36" t="s">
        <v>506</v>
      </c>
      <c r="J781" s="18" t="s">
        <v>446</v>
      </c>
      <c r="K781" s="19"/>
    </row>
    <row r="782" spans="2:11">
      <c r="B782" s="4"/>
      <c r="C782" s="6"/>
      <c r="D782" s="7">
        <v>1</v>
      </c>
      <c r="E782" s="8">
        <f>ROUND(12+((E781-0.3-1.1)/0.2),0)</f>
        <v>21</v>
      </c>
      <c r="F782" s="8">
        <v>0.7</v>
      </c>
      <c r="G782" s="8">
        <v>0.222</v>
      </c>
      <c r="H782" s="9">
        <f t="shared" si="81"/>
        <v>3.2633999999999999</v>
      </c>
      <c r="I782" s="36"/>
      <c r="J782" s="18"/>
      <c r="K782" s="19"/>
    </row>
    <row r="783" spans="2:11">
      <c r="B783" s="4"/>
      <c r="C783" s="6"/>
      <c r="D783" s="7">
        <v>1</v>
      </c>
      <c r="E783" s="8">
        <f>0.15+0.15+1.9</f>
        <v>2.1999999999999997</v>
      </c>
      <c r="F783" s="8">
        <v>4</v>
      </c>
      <c r="G783" s="8">
        <v>0.99</v>
      </c>
      <c r="H783" s="9">
        <f t="shared" si="81"/>
        <v>8.7119999999999997</v>
      </c>
      <c r="I783" s="36" t="s">
        <v>506</v>
      </c>
      <c r="J783" s="18" t="s">
        <v>443</v>
      </c>
      <c r="K783" s="19"/>
    </row>
    <row r="784" spans="2:11">
      <c r="B784" s="4"/>
      <c r="C784" s="6"/>
      <c r="D784" s="7">
        <v>1</v>
      </c>
      <c r="E784" s="8">
        <f>ROUND(12+((E783-0.3-1.1)/0.2),0)</f>
        <v>16</v>
      </c>
      <c r="F784" s="8">
        <v>0.7</v>
      </c>
      <c r="G784" s="8">
        <v>0.222</v>
      </c>
      <c r="H784" s="9">
        <f t="shared" si="81"/>
        <v>2.4863999999999997</v>
      </c>
      <c r="I784" s="36"/>
      <c r="J784" s="18"/>
      <c r="K784" s="19"/>
    </row>
    <row r="785" spans="2:11">
      <c r="B785" s="4"/>
      <c r="C785" s="6"/>
      <c r="D785" s="7">
        <v>1</v>
      </c>
      <c r="E785" s="8">
        <f>0.15+0.15+3.95</f>
        <v>4.25</v>
      </c>
      <c r="F785" s="8">
        <v>4</v>
      </c>
      <c r="G785" s="8">
        <v>0.99</v>
      </c>
      <c r="H785" s="9">
        <f t="shared" si="81"/>
        <v>16.829999999999998</v>
      </c>
      <c r="I785" s="36" t="s">
        <v>506</v>
      </c>
      <c r="J785" s="18" t="s">
        <v>444</v>
      </c>
      <c r="K785" s="19"/>
    </row>
    <row r="786" spans="2:11">
      <c r="B786" s="4"/>
      <c r="C786" s="21"/>
      <c r="D786" s="7">
        <v>1</v>
      </c>
      <c r="E786" s="8">
        <f>ROUND(12+((E785-0.3-1.1)/0.2),0)</f>
        <v>26</v>
      </c>
      <c r="F786" s="8">
        <v>0.7</v>
      </c>
      <c r="G786" s="8">
        <v>0.222</v>
      </c>
      <c r="H786" s="9">
        <f t="shared" si="81"/>
        <v>4.0404</v>
      </c>
      <c r="I786" s="36"/>
      <c r="J786" s="18"/>
      <c r="K786" s="19"/>
    </row>
    <row r="787" spans="2:11">
      <c r="B787" s="4"/>
      <c r="C787" s="125"/>
      <c r="D787" s="7">
        <v>1</v>
      </c>
      <c r="E787" s="8">
        <f>2.3+0.15+0.15</f>
        <v>2.5999999999999996</v>
      </c>
      <c r="F787" s="8">
        <v>4</v>
      </c>
      <c r="G787" s="8">
        <v>0.99</v>
      </c>
      <c r="H787" s="9">
        <f t="shared" si="81"/>
        <v>10.295999999999999</v>
      </c>
      <c r="I787" s="36" t="s">
        <v>506</v>
      </c>
      <c r="J787" s="18" t="s">
        <v>445</v>
      </c>
      <c r="K787" s="19"/>
    </row>
    <row r="788" spans="2:11">
      <c r="B788" s="4"/>
      <c r="C788" s="125"/>
      <c r="D788" s="7">
        <v>1</v>
      </c>
      <c r="E788" s="8">
        <f>ROUND(12+((E787-0.3-1.1)/0.2),0)</f>
        <v>18</v>
      </c>
      <c r="F788" s="8">
        <v>0.7</v>
      </c>
      <c r="G788" s="8">
        <v>0.222</v>
      </c>
      <c r="H788" s="9">
        <f t="shared" si="81"/>
        <v>2.7972000000000001</v>
      </c>
      <c r="I788" s="36"/>
      <c r="J788" s="18"/>
      <c r="K788" s="19"/>
    </row>
    <row r="789" spans="2:11">
      <c r="B789" s="4"/>
      <c r="C789" s="6" t="s">
        <v>447</v>
      </c>
      <c r="D789" s="7">
        <v>1</v>
      </c>
      <c r="E789" s="8">
        <f>2.51+0.15+0.15</f>
        <v>2.8099999999999996</v>
      </c>
      <c r="F789" s="8">
        <v>4</v>
      </c>
      <c r="G789" s="8">
        <v>0.99</v>
      </c>
      <c r="H789" s="9">
        <f t="shared" si="81"/>
        <v>11.127599999999997</v>
      </c>
      <c r="I789" s="36" t="s">
        <v>506</v>
      </c>
      <c r="J789" s="18" t="s">
        <v>79</v>
      </c>
      <c r="K789" s="19" t="s">
        <v>508</v>
      </c>
    </row>
    <row r="790" spans="2:11">
      <c r="B790" s="4"/>
      <c r="C790" s="6"/>
      <c r="D790" s="7">
        <v>1</v>
      </c>
      <c r="E790" s="8">
        <f>ROUND(12+((E789-0.3-1.1)/0.2),0)</f>
        <v>19</v>
      </c>
      <c r="F790" s="8">
        <v>0.7</v>
      </c>
      <c r="G790" s="8">
        <v>0.222</v>
      </c>
      <c r="H790" s="9">
        <f t="shared" si="81"/>
        <v>2.9525999999999999</v>
      </c>
      <c r="I790" s="36"/>
      <c r="J790" s="18"/>
      <c r="K790" s="19"/>
    </row>
    <row r="791" spans="2:11">
      <c r="B791" s="4"/>
      <c r="C791" s="6"/>
      <c r="D791" s="7">
        <v>1</v>
      </c>
      <c r="E791" s="8">
        <f>4.46+0.15+0.15</f>
        <v>4.7600000000000007</v>
      </c>
      <c r="F791" s="8">
        <v>4</v>
      </c>
      <c r="G791" s="8">
        <v>0.99</v>
      </c>
      <c r="H791" s="9">
        <f t="shared" si="81"/>
        <v>18.849600000000002</v>
      </c>
      <c r="I791" s="36" t="s">
        <v>506</v>
      </c>
      <c r="J791" s="18" t="s">
        <v>448</v>
      </c>
      <c r="K791" s="19"/>
    </row>
    <row r="792" spans="2:11">
      <c r="B792" s="4"/>
      <c r="C792" s="127"/>
      <c r="D792" s="7">
        <v>1</v>
      </c>
      <c r="E792" s="8">
        <f>ROUND(12+((E791-0.3-1.1)/0.2),0)</f>
        <v>29</v>
      </c>
      <c r="F792" s="8">
        <v>0.7</v>
      </c>
      <c r="G792" s="8">
        <v>0.222</v>
      </c>
      <c r="H792" s="9">
        <f t="shared" si="81"/>
        <v>4.5065999999999997</v>
      </c>
      <c r="I792" s="36"/>
      <c r="J792" s="18"/>
      <c r="K792" s="19"/>
    </row>
    <row r="793" spans="2:11">
      <c r="B793" s="4"/>
      <c r="C793" s="146" t="s">
        <v>77</v>
      </c>
      <c r="D793" s="7">
        <v>1</v>
      </c>
      <c r="E793" s="8">
        <f>2.81+0.15+0.15</f>
        <v>3.11</v>
      </c>
      <c r="F793" s="8">
        <v>4</v>
      </c>
      <c r="G793" s="8">
        <v>0.99</v>
      </c>
      <c r="H793" s="9">
        <f t="shared" si="81"/>
        <v>12.3156</v>
      </c>
      <c r="I793" s="36" t="s">
        <v>506</v>
      </c>
      <c r="J793" s="18" t="s">
        <v>80</v>
      </c>
      <c r="K793" s="19"/>
    </row>
    <row r="794" spans="2:11">
      <c r="B794" s="4"/>
      <c r="C794" s="146"/>
      <c r="D794" s="7">
        <v>1</v>
      </c>
      <c r="E794" s="8">
        <f>ROUND(12+((E793-0.3-1.1)/0.2),0)</f>
        <v>21</v>
      </c>
      <c r="F794" s="8">
        <v>0.7</v>
      </c>
      <c r="G794" s="8">
        <v>0.222</v>
      </c>
      <c r="H794" s="9">
        <f t="shared" si="81"/>
        <v>3.2633999999999999</v>
      </c>
      <c r="I794" s="36"/>
      <c r="J794" s="18"/>
      <c r="K794" s="19"/>
    </row>
    <row r="795" spans="2:11">
      <c r="B795" s="4"/>
      <c r="C795" s="6" t="s">
        <v>82</v>
      </c>
      <c r="D795" s="7">
        <v>1</v>
      </c>
      <c r="E795" s="8">
        <f>2.81+0.15+0.15</f>
        <v>3.11</v>
      </c>
      <c r="F795" s="8">
        <v>4</v>
      </c>
      <c r="G795" s="8">
        <v>0.99</v>
      </c>
      <c r="H795" s="9">
        <f t="shared" si="81"/>
        <v>12.3156</v>
      </c>
      <c r="I795" s="36" t="s">
        <v>506</v>
      </c>
      <c r="J795" s="18" t="s">
        <v>80</v>
      </c>
      <c r="K795" s="19"/>
    </row>
    <row r="796" spans="2:11">
      <c r="B796" s="4"/>
      <c r="C796" s="6"/>
      <c r="D796" s="7">
        <v>1</v>
      </c>
      <c r="E796" s="8">
        <f>ROUND(12+((E795-0.3-1.1)/0.2),0)</f>
        <v>21</v>
      </c>
      <c r="F796" s="8">
        <v>0.7</v>
      </c>
      <c r="G796" s="8">
        <v>0.222</v>
      </c>
      <c r="H796" s="9">
        <f t="shared" si="81"/>
        <v>3.2633999999999999</v>
      </c>
      <c r="I796" s="36"/>
      <c r="J796" s="18"/>
      <c r="K796" s="19"/>
    </row>
    <row r="797" spans="2:11">
      <c r="B797" s="4"/>
      <c r="C797" s="6"/>
      <c r="D797" s="7">
        <v>1</v>
      </c>
      <c r="E797" s="8">
        <f>2.51+0.15+0.15</f>
        <v>2.8099999999999996</v>
      </c>
      <c r="F797" s="8">
        <v>4</v>
      </c>
      <c r="G797" s="8">
        <v>0.99</v>
      </c>
      <c r="H797" s="9">
        <f t="shared" si="81"/>
        <v>11.127599999999997</v>
      </c>
      <c r="I797" s="36" t="s">
        <v>506</v>
      </c>
      <c r="J797" s="18" t="s">
        <v>79</v>
      </c>
      <c r="K797" s="19"/>
    </row>
    <row r="798" spans="2:11">
      <c r="B798" s="4"/>
      <c r="C798" s="6"/>
      <c r="D798" s="7">
        <v>1</v>
      </c>
      <c r="E798" s="8">
        <f>ROUND(12+((E797-0.3-1.1)/0.2),0)</f>
        <v>19</v>
      </c>
      <c r="F798" s="8">
        <v>0.7</v>
      </c>
      <c r="G798" s="8">
        <v>0.222</v>
      </c>
      <c r="H798" s="9">
        <f t="shared" si="81"/>
        <v>2.9525999999999999</v>
      </c>
      <c r="I798" s="36"/>
      <c r="J798" s="18"/>
      <c r="K798" s="19"/>
    </row>
    <row r="799" spans="2:11">
      <c r="B799" s="4"/>
      <c r="C799" s="6"/>
      <c r="D799" s="7">
        <v>1</v>
      </c>
      <c r="E799" s="8">
        <f>4.53+0.15+0.15</f>
        <v>4.830000000000001</v>
      </c>
      <c r="F799" s="8">
        <v>4</v>
      </c>
      <c r="G799" s="8">
        <v>0.99</v>
      </c>
      <c r="H799" s="9">
        <f t="shared" si="81"/>
        <v>19.126800000000003</v>
      </c>
      <c r="I799" s="36" t="s">
        <v>506</v>
      </c>
      <c r="J799" s="18" t="s">
        <v>448</v>
      </c>
      <c r="K799" s="19"/>
    </row>
    <row r="800" spans="2:11">
      <c r="B800" s="4"/>
      <c r="C800" s="6"/>
      <c r="D800" s="7">
        <v>1</v>
      </c>
      <c r="E800" s="8">
        <f>ROUND(12+((E799-0.3-1.1)/0.2),0)</f>
        <v>29</v>
      </c>
      <c r="F800" s="8">
        <v>0.7</v>
      </c>
      <c r="G800" s="8">
        <v>0.222</v>
      </c>
      <c r="H800" s="9">
        <f t="shared" si="81"/>
        <v>4.5065999999999997</v>
      </c>
      <c r="I800" s="36"/>
      <c r="J800" s="18"/>
      <c r="K800" s="19"/>
    </row>
    <row r="801" spans="2:11">
      <c r="B801" s="4"/>
      <c r="C801" s="6" t="s">
        <v>452</v>
      </c>
      <c r="D801" s="7">
        <v>1</v>
      </c>
      <c r="E801" s="8">
        <f>2.51+0.15+0.15</f>
        <v>2.8099999999999996</v>
      </c>
      <c r="F801" s="8">
        <v>4</v>
      </c>
      <c r="G801" s="8">
        <v>0.99</v>
      </c>
      <c r="H801" s="9">
        <f t="shared" si="81"/>
        <v>11.127599999999997</v>
      </c>
      <c r="I801" s="36" t="s">
        <v>506</v>
      </c>
      <c r="J801" s="18" t="s">
        <v>79</v>
      </c>
      <c r="K801" s="19"/>
    </row>
    <row r="802" spans="2:11">
      <c r="B802" s="4"/>
      <c r="C802" s="6"/>
      <c r="D802" s="7">
        <v>1</v>
      </c>
      <c r="E802" s="8">
        <f>ROUND(12+((E801-0.3-1.1)/0.2),0)</f>
        <v>19</v>
      </c>
      <c r="F802" s="8">
        <v>0.7</v>
      </c>
      <c r="G802" s="8">
        <v>0.222</v>
      </c>
      <c r="H802" s="9">
        <f t="shared" si="81"/>
        <v>2.9525999999999999</v>
      </c>
      <c r="I802" s="36"/>
      <c r="J802" s="18"/>
      <c r="K802" s="19"/>
    </row>
    <row r="803" spans="2:11">
      <c r="B803" s="4"/>
      <c r="C803" s="147"/>
      <c r="D803" s="7">
        <v>1</v>
      </c>
      <c r="E803" s="8">
        <f>4.53+0.15+0.15</f>
        <v>4.830000000000001</v>
      </c>
      <c r="F803" s="8">
        <v>4</v>
      </c>
      <c r="G803" s="8">
        <v>0.99</v>
      </c>
      <c r="H803" s="9">
        <f t="shared" si="81"/>
        <v>19.126800000000003</v>
      </c>
      <c r="I803" s="36" t="s">
        <v>506</v>
      </c>
      <c r="J803" s="18" t="s">
        <v>448</v>
      </c>
      <c r="K803" s="19"/>
    </row>
    <row r="804" spans="2:11">
      <c r="B804" s="4"/>
      <c r="C804" s="125"/>
      <c r="D804" s="7">
        <v>1</v>
      </c>
      <c r="E804" s="8">
        <f>ROUND(12+((E803-0.3-1.1)/0.2),0)</f>
        <v>29</v>
      </c>
      <c r="F804" s="8">
        <v>0.7</v>
      </c>
      <c r="G804" s="8">
        <v>0.222</v>
      </c>
      <c r="H804" s="9">
        <f t="shared" si="81"/>
        <v>4.5065999999999997</v>
      </c>
      <c r="I804" s="36"/>
      <c r="J804" s="18"/>
      <c r="K804" s="19"/>
    </row>
    <row r="805" spans="2:11">
      <c r="B805" s="4"/>
      <c r="C805" s="125" t="s">
        <v>87</v>
      </c>
      <c r="D805" s="7">
        <v>1</v>
      </c>
      <c r="E805" s="8">
        <f>2.81+0.15+0.15</f>
        <v>3.11</v>
      </c>
      <c r="F805" s="8">
        <v>4</v>
      </c>
      <c r="G805" s="8">
        <v>0.99</v>
      </c>
      <c r="H805" s="9">
        <f t="shared" si="81"/>
        <v>12.3156</v>
      </c>
      <c r="I805" s="36" t="s">
        <v>506</v>
      </c>
      <c r="J805" s="18" t="s">
        <v>80</v>
      </c>
      <c r="K805" s="19"/>
    </row>
    <row r="806" spans="2:11">
      <c r="B806" s="4"/>
      <c r="C806" s="125"/>
      <c r="D806" s="7">
        <v>1</v>
      </c>
      <c r="E806" s="8">
        <f>ROUND(12+((E805-0.3-1.1)/0.2),0)</f>
        <v>21</v>
      </c>
      <c r="F806" s="8">
        <v>0.7</v>
      </c>
      <c r="G806" s="8">
        <v>0.222</v>
      </c>
      <c r="H806" s="9">
        <f t="shared" si="81"/>
        <v>3.2633999999999999</v>
      </c>
      <c r="I806" s="36"/>
      <c r="J806" s="18"/>
      <c r="K806" s="19"/>
    </row>
    <row r="807" spans="2:11">
      <c r="B807" s="4"/>
      <c r="C807" s="125" t="s">
        <v>88</v>
      </c>
      <c r="D807" s="7">
        <v>1</v>
      </c>
      <c r="E807" s="8">
        <f>2.81+0.15+0.15</f>
        <v>3.11</v>
      </c>
      <c r="F807" s="8">
        <v>4</v>
      </c>
      <c r="G807" s="8">
        <v>0.99</v>
      </c>
      <c r="H807" s="9">
        <f t="shared" si="81"/>
        <v>12.3156</v>
      </c>
      <c r="I807" s="36" t="s">
        <v>506</v>
      </c>
      <c r="J807" s="18" t="s">
        <v>80</v>
      </c>
      <c r="K807" s="19"/>
    </row>
    <row r="808" spans="2:11">
      <c r="B808" s="4"/>
      <c r="C808" s="125"/>
      <c r="D808" s="7">
        <v>1</v>
      </c>
      <c r="E808" s="8">
        <f>ROUND(12+((E807-0.3-1.1)/0.2),0)</f>
        <v>21</v>
      </c>
      <c r="F808" s="8">
        <v>0.7</v>
      </c>
      <c r="G808" s="8">
        <v>0.222</v>
      </c>
      <c r="H808" s="9">
        <f t="shared" si="81"/>
        <v>3.2633999999999999</v>
      </c>
      <c r="I808" s="36"/>
      <c r="J808" s="18"/>
      <c r="K808" s="19"/>
    </row>
    <row r="809" spans="2:11">
      <c r="B809" s="4"/>
      <c r="C809" s="125"/>
      <c r="D809" s="7">
        <v>1</v>
      </c>
      <c r="E809" s="8">
        <f>4.53+0.15+0.15</f>
        <v>4.830000000000001</v>
      </c>
      <c r="F809" s="8">
        <v>4</v>
      </c>
      <c r="G809" s="8">
        <v>0.99</v>
      </c>
      <c r="H809" s="9">
        <f t="shared" si="81"/>
        <v>19.126800000000003</v>
      </c>
      <c r="I809" s="36" t="s">
        <v>506</v>
      </c>
      <c r="J809" s="18" t="s">
        <v>448</v>
      </c>
      <c r="K809" s="19"/>
    </row>
    <row r="810" spans="2:11">
      <c r="B810" s="4"/>
      <c r="C810" s="125"/>
      <c r="D810" s="7">
        <v>1</v>
      </c>
      <c r="E810" s="8">
        <f>ROUND(12+((E809-0.3-1.1)/0.2),0)</f>
        <v>29</v>
      </c>
      <c r="F810" s="8">
        <v>0.7</v>
      </c>
      <c r="G810" s="8">
        <v>0.222</v>
      </c>
      <c r="H810" s="9">
        <f>PRODUCT(D810:G810)</f>
        <v>4.5065999999999997</v>
      </c>
      <c r="I810" s="36"/>
      <c r="J810" s="18"/>
      <c r="K810" s="19"/>
    </row>
    <row r="811" spans="2:11">
      <c r="B811" s="4"/>
      <c r="C811" s="125"/>
      <c r="D811" s="7"/>
      <c r="E811" s="8"/>
      <c r="F811" s="8"/>
      <c r="G811" s="8"/>
      <c r="H811" s="9"/>
      <c r="I811" s="36"/>
      <c r="J811" s="18"/>
      <c r="K811" s="19"/>
    </row>
    <row r="812" spans="2:11">
      <c r="B812" s="4"/>
      <c r="C812" s="6"/>
      <c r="D812" s="7"/>
      <c r="E812" s="8"/>
      <c r="F812" s="8"/>
      <c r="G812" s="8"/>
      <c r="H812" s="9"/>
      <c r="I812" s="36"/>
      <c r="J812" s="18"/>
      <c r="K812" s="19"/>
    </row>
    <row r="813" spans="2:11">
      <c r="B813" s="4"/>
      <c r="C813" s="125" t="s">
        <v>509</v>
      </c>
      <c r="D813" s="7"/>
      <c r="E813" s="8"/>
      <c r="F813" s="8"/>
      <c r="G813" s="8"/>
      <c r="H813" s="9"/>
      <c r="I813" s="36"/>
      <c r="J813" s="18"/>
      <c r="K813" s="19"/>
    </row>
    <row r="814" spans="2:11">
      <c r="B814" s="4"/>
      <c r="C814" s="125" t="s">
        <v>527</v>
      </c>
      <c r="D814" s="7">
        <v>2</v>
      </c>
      <c r="E814" s="8">
        <f>1+0.1+0.1</f>
        <v>1.2000000000000002</v>
      </c>
      <c r="F814" s="8">
        <v>4</v>
      </c>
      <c r="G814" s="8">
        <v>0.99399999999999999</v>
      </c>
      <c r="H814" s="9">
        <f>PRODUCT(D814:G814)</f>
        <v>9.5424000000000007</v>
      </c>
      <c r="I814" s="36"/>
      <c r="J814" s="18"/>
      <c r="K814" s="19"/>
    </row>
    <row r="815" spans="2:11">
      <c r="B815" s="4"/>
      <c r="C815" s="125"/>
      <c r="D815" s="7">
        <v>2</v>
      </c>
      <c r="E815" s="8">
        <f>ROUND(2+((E814-0.2-0.1)/0.15),0)</f>
        <v>8</v>
      </c>
      <c r="F815" s="8">
        <v>0.8</v>
      </c>
      <c r="G815" s="8">
        <v>0.222</v>
      </c>
      <c r="H815" s="9">
        <f t="shared" ref="H815:H823" si="82">PRODUCT(D815:G815)</f>
        <v>2.8416000000000001</v>
      </c>
      <c r="I815" s="36"/>
      <c r="J815" s="18"/>
      <c r="K815" s="19"/>
    </row>
    <row r="816" spans="2:11">
      <c r="B816" s="4"/>
      <c r="C816" s="125" t="s">
        <v>526</v>
      </c>
      <c r="D816" s="7">
        <v>1</v>
      </c>
      <c r="E816" s="8">
        <v>0.9</v>
      </c>
      <c r="F816" s="8">
        <v>4</v>
      </c>
      <c r="G816" s="8">
        <v>0.99399999999999999</v>
      </c>
      <c r="H816" s="9">
        <f t="shared" si="82"/>
        <v>3.5784000000000002</v>
      </c>
      <c r="I816" s="36"/>
      <c r="J816" s="18"/>
      <c r="K816" s="19"/>
    </row>
    <row r="817" spans="2:11">
      <c r="B817" s="4"/>
      <c r="C817" s="125"/>
      <c r="D817" s="7">
        <v>1</v>
      </c>
      <c r="E817" s="8">
        <f>ROUND(2+((E816-0.2-0.1)/0.15),0)</f>
        <v>6</v>
      </c>
      <c r="F817" s="8">
        <v>0.8</v>
      </c>
      <c r="G817" s="8">
        <v>0.222</v>
      </c>
      <c r="H817" s="9">
        <f t="shared" si="82"/>
        <v>1.0656000000000001</v>
      </c>
      <c r="I817" s="36"/>
      <c r="J817" s="18"/>
      <c r="K817" s="19"/>
    </row>
    <row r="818" spans="2:11">
      <c r="B818" s="4"/>
      <c r="C818" s="125" t="s">
        <v>529</v>
      </c>
      <c r="D818" s="7">
        <v>1</v>
      </c>
      <c r="E818" s="8">
        <v>1.2</v>
      </c>
      <c r="F818" s="8">
        <v>4</v>
      </c>
      <c r="G818" s="8">
        <v>0.99399999999999999</v>
      </c>
      <c r="H818" s="9">
        <f t="shared" si="82"/>
        <v>4.7711999999999994</v>
      </c>
      <c r="I818" s="36"/>
      <c r="J818" s="18"/>
      <c r="K818" s="19"/>
    </row>
    <row r="819" spans="2:11">
      <c r="B819" s="4"/>
      <c r="C819" s="125"/>
      <c r="D819" s="7">
        <v>1</v>
      </c>
      <c r="E819" s="8">
        <f>ROUND(2+((E818-0.2-0.1)/0.15),0)</f>
        <v>8</v>
      </c>
      <c r="F819" s="8">
        <v>0.8</v>
      </c>
      <c r="G819" s="8">
        <v>0.222</v>
      </c>
      <c r="H819" s="9">
        <f t="shared" si="82"/>
        <v>1.4208000000000001</v>
      </c>
      <c r="I819" s="36"/>
      <c r="J819" s="18"/>
      <c r="K819" s="19"/>
    </row>
    <row r="820" spans="2:11">
      <c r="B820" s="4"/>
      <c r="C820" s="125" t="s">
        <v>530</v>
      </c>
      <c r="D820" s="7">
        <v>1</v>
      </c>
      <c r="E820" s="8">
        <v>0.8</v>
      </c>
      <c r="F820" s="8">
        <v>4</v>
      </c>
      <c r="G820" s="8">
        <v>0.99399999999999999</v>
      </c>
      <c r="H820" s="9">
        <f t="shared" si="82"/>
        <v>3.1808000000000001</v>
      </c>
      <c r="I820" s="36"/>
      <c r="J820" s="18"/>
      <c r="K820" s="19"/>
    </row>
    <row r="821" spans="2:11">
      <c r="B821" s="4"/>
      <c r="C821" s="125"/>
      <c r="D821" s="7">
        <v>1</v>
      </c>
      <c r="E821" s="8">
        <f>ROUND(2+((E820-0.2-0.1)/0.15),0)</f>
        <v>5</v>
      </c>
      <c r="F821" s="8">
        <v>0.8</v>
      </c>
      <c r="G821" s="8">
        <v>0.222</v>
      </c>
      <c r="H821" s="9">
        <f t="shared" si="82"/>
        <v>0.88800000000000001</v>
      </c>
      <c r="I821" s="36"/>
      <c r="J821" s="18"/>
      <c r="K821" s="19"/>
    </row>
    <row r="822" spans="2:11">
      <c r="B822" s="4"/>
      <c r="C822" s="125" t="s">
        <v>531</v>
      </c>
      <c r="D822" s="7">
        <v>1</v>
      </c>
      <c r="E822" s="8">
        <v>1.5</v>
      </c>
      <c r="F822" s="8">
        <v>4</v>
      </c>
      <c r="G822" s="8">
        <v>0.99399999999999999</v>
      </c>
      <c r="H822" s="9">
        <f t="shared" si="82"/>
        <v>5.9640000000000004</v>
      </c>
      <c r="I822" s="36"/>
      <c r="J822" s="18"/>
      <c r="K822" s="19"/>
    </row>
    <row r="823" spans="2:11">
      <c r="B823" s="4"/>
      <c r="C823" s="6"/>
      <c r="D823" s="7">
        <v>1</v>
      </c>
      <c r="E823" s="8">
        <f>ROUND(2+((E822-0.2-0.1)/0.15),0)</f>
        <v>10</v>
      </c>
      <c r="F823" s="8">
        <v>0.8</v>
      </c>
      <c r="G823" s="8">
        <v>0.222</v>
      </c>
      <c r="H823" s="9">
        <f t="shared" si="82"/>
        <v>1.776</v>
      </c>
      <c r="I823" s="36"/>
      <c r="J823" s="18"/>
      <c r="K823" s="19"/>
    </row>
    <row r="824" spans="2:11">
      <c r="B824" s="4"/>
      <c r="C824" s="6"/>
      <c r="D824" s="7"/>
      <c r="E824" s="8"/>
      <c r="F824" s="8"/>
      <c r="G824" s="8"/>
      <c r="H824" s="9"/>
      <c r="I824" s="36"/>
      <c r="J824" s="18"/>
      <c r="K824" s="19"/>
    </row>
    <row r="825" spans="2:11">
      <c r="B825" s="4"/>
      <c r="C825" s="6"/>
      <c r="D825" s="7"/>
      <c r="E825" s="8"/>
      <c r="F825" s="8"/>
      <c r="G825" s="8"/>
      <c r="H825" s="9"/>
      <c r="I825" s="36"/>
      <c r="J825" s="18"/>
      <c r="K825" s="19"/>
    </row>
    <row r="826" spans="2:11">
      <c r="B826" s="4"/>
      <c r="C826" s="196" t="s">
        <v>27</v>
      </c>
      <c r="D826" s="191"/>
      <c r="E826" s="191"/>
      <c r="F826" s="191"/>
      <c r="G826" s="191"/>
      <c r="H826" s="192"/>
      <c r="I826" s="11">
        <f>SUM(H827:H911)</f>
        <v>153.87649999999996</v>
      </c>
      <c r="J826" s="18" t="s">
        <v>19</v>
      </c>
      <c r="K826" s="19"/>
    </row>
    <row r="827" spans="2:11">
      <c r="B827" s="4"/>
      <c r="C827" s="21" t="s">
        <v>132</v>
      </c>
      <c r="D827" s="7"/>
      <c r="E827" s="8"/>
      <c r="F827" s="8"/>
      <c r="G827" s="8"/>
      <c r="H827" s="9"/>
      <c r="I827" s="10"/>
      <c r="J827" s="18"/>
      <c r="K827" s="19"/>
    </row>
    <row r="828" spans="2:11">
      <c r="B828" s="4"/>
      <c r="C828" s="6" t="s">
        <v>435</v>
      </c>
      <c r="D828" s="7">
        <v>1</v>
      </c>
      <c r="E828" s="8">
        <v>4.1500000000000004</v>
      </c>
      <c r="F828" s="8">
        <v>0.25</v>
      </c>
      <c r="G828" s="8">
        <v>0.2</v>
      </c>
      <c r="H828" s="9">
        <f>+F828*E828+2*G828*E828</f>
        <v>2.6975000000000002</v>
      </c>
      <c r="I828" s="36" t="s">
        <v>486</v>
      </c>
      <c r="J828" s="18" t="s">
        <v>487</v>
      </c>
      <c r="K828" s="19" t="s">
        <v>488</v>
      </c>
    </row>
    <row r="829" spans="2:11">
      <c r="B829" s="4"/>
      <c r="C829" s="6"/>
      <c r="D829" s="7">
        <v>1</v>
      </c>
      <c r="E829" s="8">
        <v>4.05</v>
      </c>
      <c r="F829" s="8">
        <v>0.25</v>
      </c>
      <c r="G829" s="8">
        <v>0.2</v>
      </c>
      <c r="H829" s="9">
        <f t="shared" ref="H829:H838" si="83">+F829*E829+2*G829*E829</f>
        <v>2.6325000000000003</v>
      </c>
      <c r="I829" s="36" t="s">
        <v>486</v>
      </c>
      <c r="J829" s="18" t="s">
        <v>489</v>
      </c>
      <c r="K829" s="19"/>
    </row>
    <row r="830" spans="2:11">
      <c r="B830" s="4"/>
      <c r="C830" s="6" t="s">
        <v>93</v>
      </c>
      <c r="D830" s="7">
        <v>1</v>
      </c>
      <c r="E830" s="8">
        <v>4.0999999999999996</v>
      </c>
      <c r="F830" s="8">
        <v>0.25</v>
      </c>
      <c r="G830" s="8">
        <v>0.4</v>
      </c>
      <c r="H830" s="9">
        <f t="shared" si="83"/>
        <v>4.3049999999999997</v>
      </c>
      <c r="I830" s="36" t="s">
        <v>490</v>
      </c>
      <c r="J830" s="18" t="s">
        <v>487</v>
      </c>
      <c r="K830" s="19"/>
    </row>
    <row r="831" spans="2:11">
      <c r="B831" s="4"/>
      <c r="C831" s="6"/>
      <c r="D831" s="7">
        <v>1</v>
      </c>
      <c r="E831" s="8">
        <v>4.05</v>
      </c>
      <c r="F831" s="8">
        <v>0.25</v>
      </c>
      <c r="G831" s="8">
        <v>0.4</v>
      </c>
      <c r="H831" s="9">
        <f t="shared" si="83"/>
        <v>4.2525000000000004</v>
      </c>
      <c r="I831" s="36" t="s">
        <v>490</v>
      </c>
      <c r="J831" s="18" t="s">
        <v>489</v>
      </c>
      <c r="K831" s="19"/>
    </row>
    <row r="832" spans="2:11">
      <c r="B832" s="4"/>
      <c r="C832" s="6" t="s">
        <v>92</v>
      </c>
      <c r="D832" s="7">
        <v>1</v>
      </c>
      <c r="E832" s="8">
        <v>4.1500000000000004</v>
      </c>
      <c r="F832" s="8">
        <v>0.25</v>
      </c>
      <c r="G832" s="8">
        <v>0.2</v>
      </c>
      <c r="H832" s="9">
        <f t="shared" si="83"/>
        <v>2.6975000000000002</v>
      </c>
      <c r="I832" s="36" t="s">
        <v>486</v>
      </c>
      <c r="J832" s="18" t="s">
        <v>487</v>
      </c>
      <c r="K832" s="19"/>
    </row>
    <row r="833" spans="2:11">
      <c r="B833" s="4"/>
      <c r="D833" s="7">
        <v>1</v>
      </c>
      <c r="E833" s="8">
        <v>4.05</v>
      </c>
      <c r="F833" s="8">
        <v>0.25</v>
      </c>
      <c r="G833" s="8">
        <v>0.2</v>
      </c>
      <c r="H833" s="9">
        <f t="shared" si="83"/>
        <v>2.6325000000000003</v>
      </c>
      <c r="I833" s="36" t="s">
        <v>486</v>
      </c>
      <c r="J833" s="18" t="s">
        <v>489</v>
      </c>
      <c r="K833" s="19"/>
    </row>
    <row r="834" spans="2:11">
      <c r="B834" s="4"/>
      <c r="C834" s="6" t="s">
        <v>447</v>
      </c>
      <c r="D834" s="7">
        <v>1</v>
      </c>
      <c r="E834" s="8">
        <v>2.5099999999999998</v>
      </c>
      <c r="F834" s="8">
        <v>0.25</v>
      </c>
      <c r="G834" s="8">
        <v>0.2</v>
      </c>
      <c r="H834" s="9">
        <f t="shared" si="83"/>
        <v>1.6315</v>
      </c>
      <c r="I834" s="36" t="s">
        <v>486</v>
      </c>
      <c r="J834" s="18" t="s">
        <v>79</v>
      </c>
      <c r="K834" s="19" t="s">
        <v>491</v>
      </c>
    </row>
    <row r="835" spans="2:11">
      <c r="B835" s="4"/>
      <c r="C835" s="6"/>
      <c r="D835" s="7">
        <v>1</v>
      </c>
      <c r="E835" s="8">
        <v>4.46</v>
      </c>
      <c r="F835" s="8">
        <v>0.25</v>
      </c>
      <c r="G835" s="8">
        <v>0.2</v>
      </c>
      <c r="H835" s="9">
        <f t="shared" si="83"/>
        <v>2.899</v>
      </c>
      <c r="I835" s="36" t="s">
        <v>486</v>
      </c>
      <c r="J835" s="18" t="s">
        <v>448</v>
      </c>
      <c r="K835" s="19"/>
    </row>
    <row r="836" spans="2:11">
      <c r="B836" s="4"/>
      <c r="C836" s="6" t="s">
        <v>492</v>
      </c>
      <c r="D836" s="7">
        <v>1</v>
      </c>
      <c r="E836" s="8">
        <v>7.21</v>
      </c>
      <c r="F836" s="8">
        <v>0.25</v>
      </c>
      <c r="G836" s="8">
        <v>0.7</v>
      </c>
      <c r="H836" s="9">
        <f t="shared" si="83"/>
        <v>11.8965</v>
      </c>
      <c r="I836" s="36" t="s">
        <v>493</v>
      </c>
      <c r="J836" s="18" t="s">
        <v>494</v>
      </c>
      <c r="K836" s="19"/>
    </row>
    <row r="837" spans="2:11">
      <c r="B837" s="4"/>
      <c r="C837" s="6" t="s">
        <v>82</v>
      </c>
      <c r="D837" s="7">
        <v>1</v>
      </c>
      <c r="E837" s="8">
        <v>2.5099999999999998</v>
      </c>
      <c r="F837" s="8">
        <v>0.25</v>
      </c>
      <c r="G837" s="8">
        <v>0.2</v>
      </c>
      <c r="H837" s="9">
        <f t="shared" si="83"/>
        <v>1.6315</v>
      </c>
      <c r="I837" s="36" t="s">
        <v>486</v>
      </c>
      <c r="J837" s="18" t="s">
        <v>79</v>
      </c>
      <c r="K837" s="19"/>
    </row>
    <row r="838" spans="2:11">
      <c r="B838" s="4"/>
      <c r="C838" s="6"/>
      <c r="D838" s="7">
        <v>1</v>
      </c>
      <c r="E838" s="8">
        <v>4.46</v>
      </c>
      <c r="F838" s="8">
        <v>0.25</v>
      </c>
      <c r="G838" s="8">
        <v>0.2</v>
      </c>
      <c r="H838" s="9">
        <f t="shared" si="83"/>
        <v>2.899</v>
      </c>
      <c r="I838" s="36" t="s">
        <v>486</v>
      </c>
      <c r="J838" s="18" t="s">
        <v>448</v>
      </c>
      <c r="K838" s="19"/>
    </row>
    <row r="839" spans="2:11">
      <c r="B839" s="4"/>
      <c r="C839" s="6"/>
      <c r="D839" s="7"/>
      <c r="E839" s="8"/>
      <c r="F839" s="8"/>
      <c r="G839" s="8"/>
      <c r="H839" s="9"/>
      <c r="I839" s="36"/>
      <c r="J839" s="18"/>
      <c r="K839" s="19"/>
    </row>
    <row r="840" spans="2:11">
      <c r="B840" s="4"/>
      <c r="C840" s="6" t="s">
        <v>495</v>
      </c>
      <c r="D840" s="7">
        <v>1</v>
      </c>
      <c r="E840" s="8">
        <v>3.35</v>
      </c>
      <c r="F840" s="8">
        <v>0.25</v>
      </c>
      <c r="G840" s="8">
        <v>0.2</v>
      </c>
      <c r="H840" s="9">
        <f>+F840*E840+2*G840*E840</f>
        <v>2.1775000000000002</v>
      </c>
      <c r="I840" s="36" t="s">
        <v>486</v>
      </c>
      <c r="J840" s="18" t="s">
        <v>438</v>
      </c>
      <c r="K840" s="19" t="s">
        <v>496</v>
      </c>
    </row>
    <row r="841" spans="2:11">
      <c r="B841" s="4"/>
      <c r="C841" s="6"/>
      <c r="D841" s="7">
        <v>1</v>
      </c>
      <c r="E841" s="8">
        <v>2.9</v>
      </c>
      <c r="F841" s="8">
        <v>0.25</v>
      </c>
      <c r="G841" s="8">
        <v>0.2</v>
      </c>
      <c r="H841" s="9">
        <f t="shared" ref="H841:H877" si="84">+F841*E841+2*G841*E841</f>
        <v>1.8849999999999998</v>
      </c>
      <c r="I841" s="36" t="s">
        <v>486</v>
      </c>
      <c r="J841" s="18" t="s">
        <v>439</v>
      </c>
      <c r="K841" s="19"/>
    </row>
    <row r="842" spans="2:11">
      <c r="B842" s="4"/>
      <c r="C842" s="6" t="s">
        <v>497</v>
      </c>
      <c r="D842" s="7">
        <v>1</v>
      </c>
      <c r="E842" s="8">
        <v>2.9</v>
      </c>
      <c r="F842" s="8">
        <v>0.25</v>
      </c>
      <c r="G842" s="8">
        <v>0.2</v>
      </c>
      <c r="H842" s="9">
        <f t="shared" si="84"/>
        <v>1.8849999999999998</v>
      </c>
      <c r="I842" s="36" t="s">
        <v>486</v>
      </c>
      <c r="J842" s="18" t="s">
        <v>439</v>
      </c>
      <c r="K842" s="19"/>
    </row>
    <row r="843" spans="2:11">
      <c r="B843" s="4"/>
      <c r="C843" s="6"/>
      <c r="D843" s="7">
        <v>1</v>
      </c>
      <c r="E843" s="8">
        <v>2.9</v>
      </c>
      <c r="F843" s="8">
        <v>0.25</v>
      </c>
      <c r="G843" s="8">
        <v>0.2</v>
      </c>
      <c r="H843" s="9">
        <f t="shared" si="84"/>
        <v>1.8849999999999998</v>
      </c>
      <c r="I843" s="36" t="s">
        <v>486</v>
      </c>
      <c r="J843" s="18" t="s">
        <v>439</v>
      </c>
      <c r="K843" s="19"/>
    </row>
    <row r="844" spans="2:11">
      <c r="B844" s="4"/>
      <c r="C844" s="6" t="s">
        <v>93</v>
      </c>
      <c r="D844" s="7">
        <v>1</v>
      </c>
      <c r="E844" s="8">
        <v>3.25</v>
      </c>
      <c r="F844" s="8">
        <v>0.25</v>
      </c>
      <c r="G844" s="8">
        <v>0.4</v>
      </c>
      <c r="H844" s="9">
        <f t="shared" si="84"/>
        <v>3.4125000000000001</v>
      </c>
      <c r="I844" s="36" t="s">
        <v>490</v>
      </c>
      <c r="J844" s="18" t="s">
        <v>438</v>
      </c>
      <c r="K844" s="19"/>
    </row>
    <row r="845" spans="2:11">
      <c r="B845" s="4"/>
      <c r="C845" s="6"/>
      <c r="D845" s="7">
        <v>1</v>
      </c>
      <c r="E845" s="8">
        <v>2.85</v>
      </c>
      <c r="F845" s="8">
        <v>0.25</v>
      </c>
      <c r="G845" s="8">
        <v>0.4</v>
      </c>
      <c r="H845" s="9">
        <f t="shared" si="84"/>
        <v>2.9925000000000002</v>
      </c>
      <c r="I845" s="36" t="s">
        <v>490</v>
      </c>
      <c r="J845" s="18" t="s">
        <v>439</v>
      </c>
      <c r="K845" s="19"/>
    </row>
    <row r="846" spans="2:11">
      <c r="B846" s="4"/>
      <c r="C846" s="6"/>
      <c r="D846" s="7">
        <v>1</v>
      </c>
      <c r="E846" s="8">
        <v>2.52</v>
      </c>
      <c r="F846" s="8">
        <v>0.15</v>
      </c>
      <c r="G846" s="8">
        <v>0.2</v>
      </c>
      <c r="H846" s="9">
        <f t="shared" si="84"/>
        <v>1.3860000000000001</v>
      </c>
      <c r="I846" s="36" t="s">
        <v>498</v>
      </c>
      <c r="J846" s="18" t="s">
        <v>146</v>
      </c>
      <c r="K846" s="19"/>
    </row>
    <row r="847" spans="2:11">
      <c r="B847" s="4"/>
      <c r="C847" s="6" t="s">
        <v>92</v>
      </c>
      <c r="D847" s="7">
        <v>1</v>
      </c>
      <c r="E847" s="8">
        <v>3.35</v>
      </c>
      <c r="F847" s="8">
        <v>0.25</v>
      </c>
      <c r="G847" s="8">
        <v>0.2</v>
      </c>
      <c r="H847" s="9">
        <f t="shared" si="84"/>
        <v>2.1775000000000002</v>
      </c>
      <c r="I847" s="36" t="s">
        <v>486</v>
      </c>
      <c r="J847" s="18" t="s">
        <v>438</v>
      </c>
      <c r="K847" s="19"/>
    </row>
    <row r="848" spans="2:11">
      <c r="B848" s="4"/>
      <c r="C848" s="6"/>
      <c r="D848" s="7">
        <v>1</v>
      </c>
      <c r="E848" s="8">
        <v>2.9</v>
      </c>
      <c r="F848" s="8">
        <v>0.25</v>
      </c>
      <c r="G848" s="8">
        <v>0.4</v>
      </c>
      <c r="H848" s="9">
        <f t="shared" si="84"/>
        <v>3.0449999999999999</v>
      </c>
      <c r="I848" s="36" t="s">
        <v>499</v>
      </c>
      <c r="J848" s="18" t="s">
        <v>439</v>
      </c>
      <c r="K848" s="19"/>
    </row>
    <row r="849" spans="2:11">
      <c r="B849" s="4"/>
      <c r="C849" s="6"/>
      <c r="D849" s="7">
        <v>1</v>
      </c>
      <c r="E849" s="8">
        <v>2.52</v>
      </c>
      <c r="F849" s="8">
        <v>0.15</v>
      </c>
      <c r="G849" s="8">
        <v>0.2</v>
      </c>
      <c r="H849" s="9">
        <f t="shared" si="84"/>
        <v>1.3860000000000001</v>
      </c>
      <c r="I849" s="36" t="s">
        <v>498</v>
      </c>
      <c r="J849" s="18" t="s">
        <v>146</v>
      </c>
      <c r="K849" s="19"/>
    </row>
    <row r="850" spans="2:11">
      <c r="B850" s="4"/>
      <c r="C850" s="6" t="s">
        <v>91</v>
      </c>
      <c r="D850" s="7">
        <v>1</v>
      </c>
      <c r="E850" s="8">
        <v>2.9</v>
      </c>
      <c r="F850" s="8">
        <v>0.25</v>
      </c>
      <c r="G850" s="8">
        <v>0.2</v>
      </c>
      <c r="H850" s="9">
        <f t="shared" si="84"/>
        <v>1.8849999999999998</v>
      </c>
      <c r="I850" s="36" t="s">
        <v>500</v>
      </c>
      <c r="J850" s="18" t="s">
        <v>446</v>
      </c>
      <c r="K850" s="19"/>
    </row>
    <row r="851" spans="2:11">
      <c r="B851" s="4"/>
      <c r="C851" s="6" t="s">
        <v>90</v>
      </c>
      <c r="D851" s="7">
        <v>1</v>
      </c>
      <c r="E851" s="8">
        <v>5.05</v>
      </c>
      <c r="F851" s="8">
        <v>0.25</v>
      </c>
      <c r="G851" s="8">
        <v>0.4</v>
      </c>
      <c r="H851" s="9">
        <f t="shared" si="84"/>
        <v>5.3025000000000002</v>
      </c>
      <c r="I851" s="36" t="s">
        <v>501</v>
      </c>
      <c r="J851" s="18" t="s">
        <v>502</v>
      </c>
      <c r="K851" s="19"/>
    </row>
    <row r="852" spans="2:11">
      <c r="B852" s="4"/>
      <c r="C852" s="6"/>
      <c r="D852" s="7">
        <v>1</v>
      </c>
      <c r="E852" s="8">
        <v>3.95</v>
      </c>
      <c r="F852" s="8">
        <v>0.25</v>
      </c>
      <c r="G852" s="8">
        <v>0.4</v>
      </c>
      <c r="H852" s="9">
        <f t="shared" si="84"/>
        <v>4.1475</v>
      </c>
      <c r="I852" s="36" t="s">
        <v>501</v>
      </c>
      <c r="J852" s="18" t="s">
        <v>444</v>
      </c>
      <c r="K852" s="19"/>
    </row>
    <row r="853" spans="2:11">
      <c r="B853" s="4"/>
      <c r="C853" s="6"/>
      <c r="D853" s="7">
        <v>1</v>
      </c>
      <c r="E853" s="8">
        <v>2.2999999999999998</v>
      </c>
      <c r="F853" s="8">
        <v>0.25</v>
      </c>
      <c r="G853" s="8">
        <v>0.4</v>
      </c>
      <c r="H853" s="9">
        <f t="shared" si="84"/>
        <v>2.415</v>
      </c>
      <c r="I853" s="36" t="s">
        <v>501</v>
      </c>
      <c r="J853" s="18" t="s">
        <v>445</v>
      </c>
      <c r="K853" s="19"/>
    </row>
    <row r="854" spans="2:11">
      <c r="B854" s="4"/>
      <c r="C854" s="6" t="s">
        <v>89</v>
      </c>
      <c r="D854" s="7">
        <v>1</v>
      </c>
      <c r="E854" s="8">
        <v>2.9</v>
      </c>
      <c r="F854" s="8">
        <v>0.25</v>
      </c>
      <c r="G854" s="8">
        <v>0.2</v>
      </c>
      <c r="H854" s="9">
        <f t="shared" si="84"/>
        <v>1.8849999999999998</v>
      </c>
      <c r="I854" s="36" t="s">
        <v>500</v>
      </c>
      <c r="J854" s="18" t="s">
        <v>446</v>
      </c>
      <c r="K854" s="19"/>
    </row>
    <row r="855" spans="2:11">
      <c r="B855" s="4"/>
      <c r="C855" s="6"/>
      <c r="D855" s="7">
        <v>1</v>
      </c>
      <c r="E855" s="8">
        <v>1.9</v>
      </c>
      <c r="F855" s="8">
        <v>0.25</v>
      </c>
      <c r="G855" s="8">
        <v>0.2</v>
      </c>
      <c r="H855" s="9">
        <f t="shared" si="84"/>
        <v>1.2349999999999999</v>
      </c>
      <c r="I855" s="36" t="s">
        <v>500</v>
      </c>
      <c r="J855" s="18" t="s">
        <v>443</v>
      </c>
      <c r="K855" s="19"/>
    </row>
    <row r="856" spans="2:11">
      <c r="B856" s="4"/>
      <c r="C856" s="6"/>
      <c r="D856" s="7">
        <v>1</v>
      </c>
      <c r="E856" s="8">
        <v>3.95</v>
      </c>
      <c r="F856" s="8">
        <v>0.25</v>
      </c>
      <c r="G856" s="8">
        <v>0.2</v>
      </c>
      <c r="H856" s="9">
        <f t="shared" si="84"/>
        <v>2.5674999999999999</v>
      </c>
      <c r="I856" s="36" t="s">
        <v>500</v>
      </c>
      <c r="J856" s="18" t="s">
        <v>444</v>
      </c>
      <c r="K856" s="19"/>
    </row>
    <row r="857" spans="2:11">
      <c r="B857" s="4"/>
      <c r="C857" s="6" t="s">
        <v>503</v>
      </c>
      <c r="D857" s="7">
        <v>1</v>
      </c>
      <c r="E857" s="8">
        <v>3.95</v>
      </c>
      <c r="F857" s="8">
        <v>0.25</v>
      </c>
      <c r="G857" s="8">
        <v>0.2</v>
      </c>
      <c r="H857" s="9">
        <f t="shared" si="84"/>
        <v>2.5674999999999999</v>
      </c>
      <c r="I857" s="36" t="s">
        <v>500</v>
      </c>
      <c r="J857" s="18" t="s">
        <v>444</v>
      </c>
      <c r="K857" s="19"/>
    </row>
    <row r="858" spans="2:11">
      <c r="B858" s="4"/>
      <c r="C858" s="6"/>
      <c r="D858" s="7">
        <v>1</v>
      </c>
      <c r="E858" s="8">
        <v>2.2999999999999998</v>
      </c>
      <c r="F858" s="8">
        <v>0.25</v>
      </c>
      <c r="G858" s="8">
        <v>0.2</v>
      </c>
      <c r="H858" s="9">
        <f t="shared" si="84"/>
        <v>1.4949999999999999</v>
      </c>
      <c r="I858" s="36" t="s">
        <v>500</v>
      </c>
      <c r="J858" s="18" t="s">
        <v>445</v>
      </c>
      <c r="K858" s="19"/>
    </row>
    <row r="859" spans="2:11">
      <c r="B859" s="4"/>
      <c r="C859" s="6" t="s">
        <v>449</v>
      </c>
      <c r="D859" s="7">
        <v>1</v>
      </c>
      <c r="E859" s="8">
        <v>2.81</v>
      </c>
      <c r="F859" s="8">
        <v>0.25</v>
      </c>
      <c r="G859" s="8">
        <v>0.2</v>
      </c>
      <c r="H859" s="9">
        <f t="shared" si="84"/>
        <v>1.8265000000000002</v>
      </c>
      <c r="I859" s="36" t="s">
        <v>500</v>
      </c>
      <c r="J859" s="18" t="s">
        <v>80</v>
      </c>
      <c r="K859" s="19" t="s">
        <v>491</v>
      </c>
    </row>
    <row r="860" spans="2:11">
      <c r="B860" s="4"/>
      <c r="C860" s="6"/>
      <c r="D860" s="7">
        <v>1</v>
      </c>
      <c r="E860" s="8">
        <v>1.23</v>
      </c>
      <c r="F860" s="8">
        <v>0.25</v>
      </c>
      <c r="G860" s="8">
        <v>0.2</v>
      </c>
      <c r="H860" s="9">
        <f t="shared" si="84"/>
        <v>0.79949999999999999</v>
      </c>
      <c r="I860" s="36" t="s">
        <v>500</v>
      </c>
      <c r="J860" s="18" t="s">
        <v>81</v>
      </c>
      <c r="K860" s="19"/>
    </row>
    <row r="861" spans="2:11">
      <c r="B861" s="4"/>
      <c r="C861" t="s">
        <v>77</v>
      </c>
      <c r="D861" s="7">
        <v>1</v>
      </c>
      <c r="E861" s="8">
        <v>2.81</v>
      </c>
      <c r="F861" s="8">
        <v>0.25</v>
      </c>
      <c r="G861" s="8">
        <v>0.2</v>
      </c>
      <c r="H861" s="9">
        <f t="shared" si="84"/>
        <v>1.8265000000000002</v>
      </c>
      <c r="I861" s="36" t="s">
        <v>500</v>
      </c>
      <c r="J861" s="18" t="s">
        <v>80</v>
      </c>
      <c r="K861" s="19"/>
    </row>
    <row r="862" spans="2:11">
      <c r="B862" s="4"/>
      <c r="C862" s="6"/>
      <c r="D862" s="7">
        <v>1</v>
      </c>
      <c r="E862" s="8">
        <v>1.23</v>
      </c>
      <c r="F862" s="8">
        <v>0.25</v>
      </c>
      <c r="G862" s="8">
        <v>0.2</v>
      </c>
      <c r="H862" s="9">
        <f t="shared" si="84"/>
        <v>0.79949999999999999</v>
      </c>
      <c r="I862" s="36" t="s">
        <v>500</v>
      </c>
      <c r="J862" s="18" t="s">
        <v>81</v>
      </c>
      <c r="K862" s="19"/>
    </row>
    <row r="863" spans="2:11">
      <c r="B863" s="4"/>
      <c r="C863" s="6" t="s">
        <v>82</v>
      </c>
      <c r="D863" s="7">
        <v>1</v>
      </c>
      <c r="E863" s="8">
        <v>2.81</v>
      </c>
      <c r="F863" s="8">
        <v>0.25</v>
      </c>
      <c r="G863" s="8">
        <v>0.2</v>
      </c>
      <c r="H863" s="9">
        <f t="shared" si="84"/>
        <v>1.8265000000000002</v>
      </c>
      <c r="I863" s="36" t="s">
        <v>500</v>
      </c>
      <c r="J863" s="18" t="s">
        <v>80</v>
      </c>
      <c r="K863" s="19"/>
    </row>
    <row r="864" spans="2:11">
      <c r="B864" s="4"/>
      <c r="C864" s="6"/>
      <c r="D864" s="7">
        <v>1</v>
      </c>
      <c r="E864" s="8">
        <v>2.5099999999999998</v>
      </c>
      <c r="F864" s="8">
        <v>0.25</v>
      </c>
      <c r="G864" s="8">
        <v>0.2</v>
      </c>
      <c r="H864" s="9">
        <f t="shared" si="84"/>
        <v>1.6315</v>
      </c>
      <c r="I864" s="36" t="s">
        <v>486</v>
      </c>
      <c r="J864" s="18" t="s">
        <v>79</v>
      </c>
      <c r="K864" s="19"/>
    </row>
    <row r="865" spans="2:12">
      <c r="B865" s="4"/>
      <c r="C865" s="6"/>
      <c r="D865" s="7">
        <v>1</v>
      </c>
      <c r="E865" s="8">
        <v>4.53</v>
      </c>
      <c r="F865" s="8">
        <v>0.25</v>
      </c>
      <c r="G865" s="8">
        <v>0.2</v>
      </c>
      <c r="H865" s="9">
        <f t="shared" si="84"/>
        <v>2.9445000000000006</v>
      </c>
      <c r="I865" s="36" t="s">
        <v>486</v>
      </c>
      <c r="J865" s="18" t="s">
        <v>448</v>
      </c>
      <c r="K865" s="19"/>
    </row>
    <row r="866" spans="2:12">
      <c r="B866" s="4"/>
      <c r="C866" s="6" t="s">
        <v>452</v>
      </c>
      <c r="D866" s="7">
        <v>1</v>
      </c>
      <c r="E866" s="8">
        <v>2.5099999999999998</v>
      </c>
      <c r="F866" s="8">
        <v>0.25</v>
      </c>
      <c r="G866" s="8">
        <v>0.2</v>
      </c>
      <c r="H866" s="9">
        <f t="shared" si="84"/>
        <v>1.6315</v>
      </c>
      <c r="I866" s="36" t="s">
        <v>486</v>
      </c>
      <c r="J866" s="18" t="s">
        <v>79</v>
      </c>
      <c r="K866" s="19"/>
    </row>
    <row r="867" spans="2:12">
      <c r="B867" s="4"/>
      <c r="C867" s="30"/>
      <c r="D867" s="7">
        <v>1</v>
      </c>
      <c r="E867" s="8">
        <v>4.53</v>
      </c>
      <c r="F867" s="8">
        <v>0.25</v>
      </c>
      <c r="G867" s="8">
        <v>0.2</v>
      </c>
      <c r="H867" s="9">
        <f t="shared" si="84"/>
        <v>2.9445000000000006</v>
      </c>
      <c r="I867" s="36" t="s">
        <v>486</v>
      </c>
      <c r="J867" s="18" t="s">
        <v>448</v>
      </c>
      <c r="K867" s="19"/>
    </row>
    <row r="868" spans="2:12">
      <c r="B868" s="4"/>
      <c r="C868" s="125" t="s">
        <v>87</v>
      </c>
      <c r="D868" s="7">
        <v>1</v>
      </c>
      <c r="E868" s="8">
        <v>2.81</v>
      </c>
      <c r="F868" s="8">
        <v>0.25</v>
      </c>
      <c r="G868" s="8">
        <v>0.2</v>
      </c>
      <c r="H868" s="9">
        <f t="shared" si="84"/>
        <v>1.8265000000000002</v>
      </c>
      <c r="I868" s="36" t="s">
        <v>500</v>
      </c>
      <c r="J868" s="18" t="s">
        <v>80</v>
      </c>
      <c r="K868" s="19"/>
    </row>
    <row r="869" spans="2:12">
      <c r="B869" s="4"/>
      <c r="C869" s="125" t="s">
        <v>88</v>
      </c>
      <c r="D869" s="7">
        <v>1</v>
      </c>
      <c r="E869" s="8">
        <v>2.81</v>
      </c>
      <c r="F869" s="8">
        <v>0.25</v>
      </c>
      <c r="G869" s="8">
        <v>0.2</v>
      </c>
      <c r="H869" s="9">
        <f t="shared" si="84"/>
        <v>1.8265000000000002</v>
      </c>
      <c r="I869" s="36" t="s">
        <v>500</v>
      </c>
      <c r="J869" s="18" t="s">
        <v>80</v>
      </c>
      <c r="K869" s="19"/>
    </row>
    <row r="870" spans="2:12">
      <c r="B870" s="4"/>
      <c r="C870" s="39"/>
      <c r="D870" s="7">
        <v>1</v>
      </c>
      <c r="E870" s="8">
        <v>2.5099999999999998</v>
      </c>
      <c r="F870" s="8">
        <v>0.25</v>
      </c>
      <c r="G870" s="8">
        <v>0.2</v>
      </c>
      <c r="H870" s="9">
        <f t="shared" si="84"/>
        <v>1.6315</v>
      </c>
      <c r="I870" s="36" t="s">
        <v>486</v>
      </c>
      <c r="J870" s="18" t="s">
        <v>79</v>
      </c>
      <c r="K870" s="19"/>
    </row>
    <row r="871" spans="2:12">
      <c r="B871" s="4"/>
      <c r="C871" s="39"/>
      <c r="D871" s="7">
        <v>1</v>
      </c>
      <c r="E871" s="8">
        <v>4.53</v>
      </c>
      <c r="F871" s="8">
        <v>0.25</v>
      </c>
      <c r="G871" s="8">
        <v>0.2</v>
      </c>
      <c r="H871" s="9">
        <f t="shared" si="84"/>
        <v>2.9445000000000006</v>
      </c>
      <c r="I871" s="36" t="s">
        <v>486</v>
      </c>
      <c r="J871" s="18" t="s">
        <v>448</v>
      </c>
      <c r="K871" s="19"/>
    </row>
    <row r="872" spans="2:12">
      <c r="B872" s="4"/>
      <c r="C872" s="39"/>
      <c r="D872" s="7"/>
      <c r="E872" s="8"/>
      <c r="F872" s="8"/>
      <c r="G872" s="8"/>
      <c r="H872" s="9"/>
      <c r="I872" s="36"/>
      <c r="J872" s="18"/>
      <c r="K872" s="19"/>
    </row>
    <row r="873" spans="2:12">
      <c r="B873" s="4"/>
      <c r="C873" s="39" t="s">
        <v>504</v>
      </c>
      <c r="D873" s="7">
        <v>2</v>
      </c>
      <c r="E873" s="8">
        <v>1.2</v>
      </c>
      <c r="F873" s="8">
        <v>0.15</v>
      </c>
      <c r="G873" s="8">
        <v>0.2</v>
      </c>
      <c r="H873" s="9">
        <f t="shared" si="84"/>
        <v>0.65999999999999992</v>
      </c>
      <c r="I873" s="36" t="s">
        <v>498</v>
      </c>
      <c r="J873" s="18"/>
      <c r="K873" s="19"/>
    </row>
    <row r="874" spans="2:12">
      <c r="B874" s="4"/>
      <c r="C874" s="39"/>
      <c r="D874" s="7">
        <v>2</v>
      </c>
      <c r="E874" s="8">
        <v>1.2</v>
      </c>
      <c r="F874" s="8">
        <v>0.15</v>
      </c>
      <c r="G874" s="8">
        <v>0.2</v>
      </c>
      <c r="H874" s="9">
        <f t="shared" si="84"/>
        <v>0.65999999999999992</v>
      </c>
      <c r="I874" s="36" t="s">
        <v>498</v>
      </c>
      <c r="J874" s="18"/>
      <c r="K874" s="19"/>
    </row>
    <row r="875" spans="2:12">
      <c r="B875" s="4"/>
      <c r="C875" s="39"/>
      <c r="D875" s="7"/>
      <c r="E875" s="8"/>
      <c r="F875" s="8"/>
      <c r="G875" s="8"/>
      <c r="H875" s="9"/>
      <c r="I875" s="36"/>
      <c r="J875" s="18"/>
      <c r="K875" s="19"/>
    </row>
    <row r="876" spans="2:12">
      <c r="B876" s="4"/>
      <c r="C876" s="39"/>
      <c r="D876" s="7">
        <v>2</v>
      </c>
      <c r="E876" s="8">
        <v>1.2</v>
      </c>
      <c r="F876" s="8">
        <v>0.15</v>
      </c>
      <c r="G876" s="8">
        <v>0.2</v>
      </c>
      <c r="H876" s="9">
        <f t="shared" si="84"/>
        <v>0.65999999999999992</v>
      </c>
      <c r="I876" s="36" t="s">
        <v>498</v>
      </c>
      <c r="J876" s="18"/>
      <c r="K876" s="19"/>
    </row>
    <row r="877" spans="2:12">
      <c r="B877" s="4"/>
      <c r="C877" s="39"/>
      <c r="D877" s="7">
        <v>2</v>
      </c>
      <c r="E877" s="8">
        <v>1.2</v>
      </c>
      <c r="F877" s="8">
        <v>0.15</v>
      </c>
      <c r="G877" s="8">
        <v>0.2</v>
      </c>
      <c r="H877" s="9">
        <f t="shared" si="84"/>
        <v>0.65999999999999992</v>
      </c>
      <c r="I877" s="36" t="s">
        <v>498</v>
      </c>
      <c r="J877" s="18"/>
      <c r="K877" s="19"/>
    </row>
    <row r="878" spans="2:12">
      <c r="B878" s="4"/>
      <c r="C878" s="39"/>
      <c r="D878" s="7"/>
      <c r="E878" s="8"/>
      <c r="F878" s="8"/>
      <c r="G878" s="8"/>
      <c r="H878" s="9"/>
      <c r="I878" s="36"/>
      <c r="J878" s="18"/>
      <c r="K878" s="19"/>
    </row>
    <row r="879" spans="2:12">
      <c r="B879" s="4"/>
      <c r="C879" s="39" t="s">
        <v>505</v>
      </c>
      <c r="D879" s="7"/>
      <c r="E879" s="8"/>
      <c r="F879" s="8"/>
      <c r="G879" s="8"/>
      <c r="H879" s="9"/>
      <c r="I879" s="36"/>
      <c r="J879" s="18"/>
      <c r="K879" s="19"/>
    </row>
    <row r="880" spans="2:12">
      <c r="B880" s="4"/>
      <c r="C880" s="39" t="s">
        <v>435</v>
      </c>
      <c r="D880" s="7">
        <v>1</v>
      </c>
      <c r="E880" s="8">
        <v>4.1500000000000004</v>
      </c>
      <c r="F880" s="8">
        <v>0.15</v>
      </c>
      <c r="G880" s="8">
        <v>0.25</v>
      </c>
      <c r="H880" s="9">
        <f>+E880*G880*2</f>
        <v>2.0750000000000002</v>
      </c>
      <c r="I880" s="36" t="s">
        <v>506</v>
      </c>
      <c r="J880" s="18" t="s">
        <v>487</v>
      </c>
      <c r="K880" s="19" t="s">
        <v>507</v>
      </c>
      <c r="L880" t="s">
        <v>511</v>
      </c>
    </row>
    <row r="881" spans="2:11">
      <c r="B881" s="4"/>
      <c r="C881" s="39"/>
      <c r="D881" s="7">
        <v>1</v>
      </c>
      <c r="E881" s="8">
        <v>4.05</v>
      </c>
      <c r="F881" s="8">
        <v>0.15</v>
      </c>
      <c r="G881" s="8">
        <v>0.25</v>
      </c>
      <c r="H881" s="9">
        <f t="shared" ref="H881:H902" si="85">+E881*G881*2</f>
        <v>2.0249999999999999</v>
      </c>
      <c r="I881" s="36" t="s">
        <v>506</v>
      </c>
      <c r="J881" s="18" t="s">
        <v>489</v>
      </c>
      <c r="K881" s="19"/>
    </row>
    <row r="882" spans="2:11">
      <c r="B882" s="4"/>
      <c r="C882" s="39"/>
      <c r="D882" s="7">
        <v>1</v>
      </c>
      <c r="E882" s="8">
        <v>3.35</v>
      </c>
      <c r="F882" s="8">
        <v>0.15</v>
      </c>
      <c r="G882" s="8">
        <v>0.25</v>
      </c>
      <c r="H882" s="9">
        <f t="shared" si="85"/>
        <v>1.675</v>
      </c>
      <c r="I882" s="36" t="s">
        <v>506</v>
      </c>
      <c r="J882" s="18" t="s">
        <v>438</v>
      </c>
      <c r="K882" s="19"/>
    </row>
    <row r="883" spans="2:11">
      <c r="B883" s="4"/>
      <c r="C883" s="39"/>
      <c r="D883" s="7">
        <v>1</v>
      </c>
      <c r="E883" s="8">
        <v>2.9</v>
      </c>
      <c r="F883" s="8">
        <v>0.15</v>
      </c>
      <c r="G883" s="8">
        <v>0.25</v>
      </c>
      <c r="H883" s="9">
        <f t="shared" si="85"/>
        <v>1.45</v>
      </c>
      <c r="I883" s="36" t="s">
        <v>506</v>
      </c>
      <c r="J883" s="18" t="s">
        <v>439</v>
      </c>
      <c r="K883" s="19"/>
    </row>
    <row r="884" spans="2:11">
      <c r="B884" s="4"/>
      <c r="C884" s="39" t="s">
        <v>92</v>
      </c>
      <c r="D884" s="7">
        <v>1</v>
      </c>
      <c r="E884" s="8">
        <v>4.1500000000000004</v>
      </c>
      <c r="F884" s="8">
        <v>0.15</v>
      </c>
      <c r="G884" s="8">
        <v>0.25</v>
      </c>
      <c r="H884" s="9">
        <f t="shared" si="85"/>
        <v>2.0750000000000002</v>
      </c>
      <c r="I884" s="36" t="s">
        <v>506</v>
      </c>
      <c r="J884" s="18" t="s">
        <v>487</v>
      </c>
      <c r="K884" s="19"/>
    </row>
    <row r="885" spans="2:11">
      <c r="B885" s="4"/>
      <c r="C885" s="39"/>
      <c r="D885" s="7">
        <v>1</v>
      </c>
      <c r="E885" s="8">
        <v>2</v>
      </c>
      <c r="F885" s="8">
        <v>0.15</v>
      </c>
      <c r="G885" s="8">
        <v>0.25</v>
      </c>
      <c r="H885" s="9">
        <f t="shared" si="85"/>
        <v>1</v>
      </c>
      <c r="I885" s="36" t="s">
        <v>506</v>
      </c>
      <c r="J885" s="18" t="s">
        <v>489</v>
      </c>
      <c r="K885" s="19"/>
    </row>
    <row r="886" spans="2:11">
      <c r="B886" s="4"/>
      <c r="C886" s="39"/>
      <c r="D886" s="7">
        <v>1</v>
      </c>
      <c r="E886" s="8">
        <v>3.35</v>
      </c>
      <c r="F886" s="8">
        <v>0.15</v>
      </c>
      <c r="G886" s="8">
        <v>0.25</v>
      </c>
      <c r="H886" s="9">
        <f t="shared" si="85"/>
        <v>1.675</v>
      </c>
      <c r="I886" s="36" t="s">
        <v>506</v>
      </c>
      <c r="J886" s="18" t="s">
        <v>438</v>
      </c>
      <c r="K886" s="19"/>
    </row>
    <row r="887" spans="2:11">
      <c r="B887" s="4"/>
      <c r="C887" s="39" t="s">
        <v>91</v>
      </c>
      <c r="D887" s="7">
        <v>1</v>
      </c>
      <c r="E887" s="8">
        <v>2.9</v>
      </c>
      <c r="F887" s="8">
        <v>0.15</v>
      </c>
      <c r="G887" s="8">
        <v>0.25</v>
      </c>
      <c r="H887" s="9">
        <f t="shared" si="85"/>
        <v>1.45</v>
      </c>
      <c r="I887" s="36" t="s">
        <v>506</v>
      </c>
      <c r="J887" s="18" t="s">
        <v>446</v>
      </c>
      <c r="K887" s="19"/>
    </row>
    <row r="888" spans="2:11">
      <c r="B888" s="4"/>
      <c r="C888" s="33" t="s">
        <v>89</v>
      </c>
      <c r="D888" s="7">
        <v>1</v>
      </c>
      <c r="E888" s="8">
        <v>2.9</v>
      </c>
      <c r="F888" s="8">
        <v>0.15</v>
      </c>
      <c r="G888" s="8">
        <v>0.25</v>
      </c>
      <c r="H888" s="9">
        <f t="shared" si="85"/>
        <v>1.45</v>
      </c>
      <c r="I888" s="36" t="s">
        <v>506</v>
      </c>
      <c r="J888" s="18" t="s">
        <v>446</v>
      </c>
      <c r="K888" s="19"/>
    </row>
    <row r="889" spans="2:11">
      <c r="B889" s="4"/>
      <c r="C889" s="6"/>
      <c r="D889" s="7">
        <v>1</v>
      </c>
      <c r="E889" s="8">
        <v>1.9</v>
      </c>
      <c r="F889" s="8">
        <v>0.15</v>
      </c>
      <c r="G889" s="8">
        <v>0.25</v>
      </c>
      <c r="H889" s="9">
        <f t="shared" si="85"/>
        <v>0.95</v>
      </c>
      <c r="I889" s="36" t="s">
        <v>506</v>
      </c>
      <c r="J889" s="18" t="s">
        <v>443</v>
      </c>
      <c r="K889" s="19"/>
    </row>
    <row r="890" spans="2:11">
      <c r="B890" s="4"/>
      <c r="C890" s="6"/>
      <c r="D890" s="7">
        <v>1</v>
      </c>
      <c r="E890" s="8">
        <v>3.95</v>
      </c>
      <c r="F890" s="8">
        <v>0.15</v>
      </c>
      <c r="G890" s="8">
        <v>0.25</v>
      </c>
      <c r="H890" s="9">
        <f t="shared" si="85"/>
        <v>1.9750000000000001</v>
      </c>
      <c r="I890" s="36" t="s">
        <v>506</v>
      </c>
      <c r="J890" s="18" t="s">
        <v>444</v>
      </c>
      <c r="K890" s="19"/>
    </row>
    <row r="891" spans="2:11">
      <c r="B891" s="4"/>
      <c r="C891" s="39"/>
      <c r="D891" s="7">
        <v>1</v>
      </c>
      <c r="E891" s="8">
        <v>2.2999999999999998</v>
      </c>
      <c r="F891" s="8">
        <v>0.15</v>
      </c>
      <c r="G891" s="8">
        <v>0.25</v>
      </c>
      <c r="H891" s="9">
        <f t="shared" si="85"/>
        <v>1.1499999999999999</v>
      </c>
      <c r="I891" s="36" t="s">
        <v>506</v>
      </c>
      <c r="J891" s="18" t="s">
        <v>445</v>
      </c>
      <c r="K891" s="19"/>
    </row>
    <row r="892" spans="2:11">
      <c r="B892" s="4"/>
      <c r="C892" s="33" t="s">
        <v>447</v>
      </c>
      <c r="D892" s="7">
        <v>1</v>
      </c>
      <c r="E892" s="8">
        <v>2.5099999999999998</v>
      </c>
      <c r="F892" s="8">
        <v>0.15</v>
      </c>
      <c r="G892" s="8">
        <v>0.25</v>
      </c>
      <c r="H892" s="9">
        <f t="shared" si="85"/>
        <v>1.2549999999999999</v>
      </c>
      <c r="I892" s="36" t="s">
        <v>506</v>
      </c>
      <c r="J892" s="18" t="s">
        <v>79</v>
      </c>
      <c r="K892" s="19" t="s">
        <v>508</v>
      </c>
    </row>
    <row r="893" spans="2:11">
      <c r="B893" s="4"/>
      <c r="C893" s="6"/>
      <c r="D893" s="7">
        <v>1</v>
      </c>
      <c r="E893" s="8">
        <v>4.46</v>
      </c>
      <c r="F893" s="8">
        <v>0.15</v>
      </c>
      <c r="G893" s="8">
        <v>0.25</v>
      </c>
      <c r="H893" s="9">
        <f t="shared" si="85"/>
        <v>2.23</v>
      </c>
      <c r="I893" s="36" t="s">
        <v>506</v>
      </c>
      <c r="J893" s="18" t="s">
        <v>448</v>
      </c>
      <c r="K893" s="19"/>
    </row>
    <row r="894" spans="2:11">
      <c r="B894" s="4"/>
      <c r="C894" s="126" t="s">
        <v>77</v>
      </c>
      <c r="D894" s="7">
        <v>1</v>
      </c>
      <c r="E894" s="8">
        <v>2.81</v>
      </c>
      <c r="F894" s="8">
        <v>0.15</v>
      </c>
      <c r="G894" s="8">
        <v>0.25</v>
      </c>
      <c r="H894" s="9">
        <f t="shared" si="85"/>
        <v>1.405</v>
      </c>
      <c r="I894" s="36" t="s">
        <v>506</v>
      </c>
      <c r="J894" s="18" t="s">
        <v>80</v>
      </c>
      <c r="K894" s="19"/>
    </row>
    <row r="895" spans="2:11">
      <c r="B895" s="4"/>
      <c r="C895" s="33" t="s">
        <v>82</v>
      </c>
      <c r="D895" s="7">
        <v>1</v>
      </c>
      <c r="E895" s="8">
        <v>2.81</v>
      </c>
      <c r="F895" s="8">
        <v>0.15</v>
      </c>
      <c r="G895" s="8">
        <v>0.25</v>
      </c>
      <c r="H895" s="9">
        <f t="shared" si="85"/>
        <v>1.405</v>
      </c>
      <c r="I895" s="36" t="s">
        <v>506</v>
      </c>
      <c r="J895" s="18" t="s">
        <v>80</v>
      </c>
      <c r="K895" s="19"/>
    </row>
    <row r="896" spans="2:11">
      <c r="B896" s="4"/>
      <c r="C896" s="33"/>
      <c r="D896" s="7">
        <v>1</v>
      </c>
      <c r="E896" s="8">
        <v>2.5099999999999998</v>
      </c>
      <c r="F896" s="8">
        <v>0.15</v>
      </c>
      <c r="G896" s="8">
        <v>0.25</v>
      </c>
      <c r="H896" s="9">
        <f t="shared" si="85"/>
        <v>1.2549999999999999</v>
      </c>
      <c r="I896" s="36" t="s">
        <v>506</v>
      </c>
      <c r="J896" s="18" t="s">
        <v>79</v>
      </c>
      <c r="K896" s="19"/>
    </row>
    <row r="897" spans="2:11">
      <c r="B897" s="4"/>
      <c r="C897" s="33"/>
      <c r="D897" s="7">
        <v>1</v>
      </c>
      <c r="E897" s="8">
        <v>4.53</v>
      </c>
      <c r="F897" s="8">
        <v>0.15</v>
      </c>
      <c r="G897" s="8">
        <v>0.25</v>
      </c>
      <c r="H897" s="9">
        <f t="shared" si="85"/>
        <v>2.2650000000000001</v>
      </c>
      <c r="I897" s="36" t="s">
        <v>506</v>
      </c>
      <c r="J897" s="18" t="s">
        <v>448</v>
      </c>
      <c r="K897" s="19"/>
    </row>
    <row r="898" spans="2:11">
      <c r="B898" s="4"/>
      <c r="C898" s="33" t="s">
        <v>452</v>
      </c>
      <c r="D898" s="7">
        <v>1</v>
      </c>
      <c r="E898" s="8">
        <v>2.5099999999999998</v>
      </c>
      <c r="F898" s="8">
        <v>0.15</v>
      </c>
      <c r="G898" s="8">
        <v>0.25</v>
      </c>
      <c r="H898" s="9">
        <f t="shared" si="85"/>
        <v>1.2549999999999999</v>
      </c>
      <c r="I898" s="36" t="s">
        <v>506</v>
      </c>
      <c r="J898" s="18" t="s">
        <v>79</v>
      </c>
      <c r="K898" s="19"/>
    </row>
    <row r="899" spans="2:11">
      <c r="B899" s="4"/>
      <c r="C899" s="30"/>
      <c r="D899" s="7">
        <v>1</v>
      </c>
      <c r="E899" s="8">
        <v>4.53</v>
      </c>
      <c r="F899" s="8">
        <v>0.15</v>
      </c>
      <c r="G899" s="8">
        <v>0.25</v>
      </c>
      <c r="H899" s="9">
        <f t="shared" si="85"/>
        <v>2.2650000000000001</v>
      </c>
      <c r="I899" s="36" t="s">
        <v>506</v>
      </c>
      <c r="J899" s="18" t="s">
        <v>448</v>
      </c>
      <c r="K899" s="19"/>
    </row>
    <row r="900" spans="2:11">
      <c r="B900" s="4"/>
      <c r="C900" s="39" t="s">
        <v>87</v>
      </c>
      <c r="D900" s="7">
        <v>1</v>
      </c>
      <c r="E900" s="8">
        <v>2.81</v>
      </c>
      <c r="F900" s="8">
        <v>0.15</v>
      </c>
      <c r="G900" s="8">
        <v>0.25</v>
      </c>
      <c r="H900" s="9">
        <f t="shared" si="85"/>
        <v>1.405</v>
      </c>
      <c r="I900" s="36" t="s">
        <v>506</v>
      </c>
      <c r="J900" s="18" t="s">
        <v>80</v>
      </c>
      <c r="K900" s="19"/>
    </row>
    <row r="901" spans="2:11">
      <c r="B901" s="4"/>
      <c r="C901" s="39" t="s">
        <v>88</v>
      </c>
      <c r="D901" s="7">
        <v>1</v>
      </c>
      <c r="E901" s="8">
        <v>2.81</v>
      </c>
      <c r="F901" s="8">
        <v>0.15</v>
      </c>
      <c r="G901" s="8">
        <v>0.25</v>
      </c>
      <c r="H901" s="9">
        <f t="shared" si="85"/>
        <v>1.405</v>
      </c>
      <c r="I901" s="36" t="s">
        <v>506</v>
      </c>
      <c r="J901" s="18" t="s">
        <v>80</v>
      </c>
      <c r="K901" s="19"/>
    </row>
    <row r="902" spans="2:11">
      <c r="B902" s="4"/>
      <c r="C902" s="39"/>
      <c r="D902" s="7">
        <v>1</v>
      </c>
      <c r="E902" s="8">
        <v>4.53</v>
      </c>
      <c r="F902" s="8">
        <v>0.15</v>
      </c>
      <c r="G902" s="8">
        <v>0.25</v>
      </c>
      <c r="H902" s="9">
        <f t="shared" si="85"/>
        <v>2.2650000000000001</v>
      </c>
      <c r="I902" s="36" t="s">
        <v>506</v>
      </c>
      <c r="J902" s="18" t="s">
        <v>448</v>
      </c>
      <c r="K902" s="19"/>
    </row>
    <row r="903" spans="2:11">
      <c r="B903" s="4"/>
      <c r="C903" s="39"/>
      <c r="D903" s="7"/>
      <c r="E903" s="8"/>
      <c r="F903" s="8"/>
      <c r="G903" s="8"/>
      <c r="H903" s="9"/>
      <c r="I903" s="36"/>
      <c r="J903" s="18"/>
      <c r="K903" s="19"/>
    </row>
    <row r="904" spans="2:11">
      <c r="B904" s="4"/>
      <c r="C904" s="39" t="s">
        <v>509</v>
      </c>
      <c r="D904" s="7"/>
      <c r="E904" s="8"/>
      <c r="F904" s="8"/>
      <c r="G904" s="8"/>
      <c r="H904" s="9"/>
      <c r="I904" s="36"/>
      <c r="J904" s="18"/>
      <c r="K904" s="19"/>
    </row>
    <row r="905" spans="2:11">
      <c r="B905" s="4"/>
      <c r="C905" s="125" t="s">
        <v>527</v>
      </c>
      <c r="D905" s="7">
        <v>2</v>
      </c>
      <c r="E905" s="8">
        <v>1</v>
      </c>
      <c r="F905" s="8">
        <v>0.15</v>
      </c>
      <c r="G905" s="8">
        <v>0.25</v>
      </c>
      <c r="H905" s="9">
        <f t="shared" ref="H905:H909" si="86">+F905*E905+2*G905*E905</f>
        <v>0.65</v>
      </c>
      <c r="I905" s="36"/>
      <c r="J905" s="18"/>
      <c r="K905" s="19"/>
    </row>
    <row r="906" spans="2:11">
      <c r="B906" s="4"/>
      <c r="C906" s="125" t="s">
        <v>526</v>
      </c>
      <c r="D906" s="7">
        <v>1</v>
      </c>
      <c r="E906" s="8">
        <v>0.9</v>
      </c>
      <c r="F906" s="8">
        <v>0.15</v>
      </c>
      <c r="G906" s="8">
        <v>0.25</v>
      </c>
      <c r="H906" s="9">
        <f t="shared" si="86"/>
        <v>0.58499999999999996</v>
      </c>
      <c r="I906" s="36"/>
      <c r="J906" s="18"/>
      <c r="K906" s="19"/>
    </row>
    <row r="907" spans="2:11">
      <c r="B907" s="4"/>
      <c r="C907" s="125" t="s">
        <v>529</v>
      </c>
      <c r="D907" s="7">
        <v>1</v>
      </c>
      <c r="E907" s="8">
        <v>1.2</v>
      </c>
      <c r="F907" s="8">
        <v>0.15</v>
      </c>
      <c r="G907" s="8">
        <v>0.25</v>
      </c>
      <c r="H907" s="9">
        <f t="shared" si="86"/>
        <v>0.78</v>
      </c>
      <c r="I907" s="36"/>
      <c r="J907" s="18"/>
      <c r="K907" s="19"/>
    </row>
    <row r="908" spans="2:11">
      <c r="B908" s="4"/>
      <c r="C908" s="125" t="s">
        <v>530</v>
      </c>
      <c r="D908" s="7">
        <v>1</v>
      </c>
      <c r="E908" s="8">
        <v>0.8</v>
      </c>
      <c r="F908" s="8">
        <v>0.15</v>
      </c>
      <c r="G908" s="8">
        <v>0.25</v>
      </c>
      <c r="H908" s="9">
        <f t="shared" si="86"/>
        <v>0.52</v>
      </c>
      <c r="I908" s="36"/>
      <c r="J908" s="18"/>
      <c r="K908" s="19"/>
    </row>
    <row r="909" spans="2:11">
      <c r="B909" s="4"/>
      <c r="C909" s="125" t="s">
        <v>531</v>
      </c>
      <c r="D909" s="7">
        <v>1</v>
      </c>
      <c r="E909" s="8">
        <v>1.5</v>
      </c>
      <c r="F909" s="8">
        <v>0.15</v>
      </c>
      <c r="G909" s="8">
        <v>0.25</v>
      </c>
      <c r="H909" s="9">
        <f t="shared" si="86"/>
        <v>0.97499999999999998</v>
      </c>
      <c r="I909" s="36"/>
      <c r="J909" s="18"/>
      <c r="K909" s="19"/>
    </row>
    <row r="910" spans="2:11">
      <c r="B910" s="4"/>
      <c r="C910" s="6"/>
      <c r="D910" s="7"/>
      <c r="E910" s="8"/>
      <c r="F910" s="8"/>
      <c r="G910" s="8"/>
      <c r="H910" s="9"/>
      <c r="I910" s="36"/>
      <c r="J910" s="18"/>
      <c r="K910" s="19"/>
    </row>
    <row r="911" spans="2:11">
      <c r="B911" s="4"/>
      <c r="C911" s="6"/>
      <c r="D911" s="7"/>
      <c r="E911" s="8"/>
      <c r="F911" s="8"/>
      <c r="G911" s="8"/>
      <c r="H911" s="9"/>
      <c r="I911" s="36"/>
      <c r="J911" s="18"/>
      <c r="K911" s="19"/>
    </row>
    <row r="912" spans="2:11">
      <c r="B912" s="4">
        <v>15</v>
      </c>
      <c r="C912" s="194" t="s">
        <v>46</v>
      </c>
      <c r="D912" s="195"/>
      <c r="E912" s="195"/>
      <c r="F912" s="195"/>
      <c r="G912" s="195"/>
      <c r="H912" s="195"/>
      <c r="I912" s="5"/>
      <c r="J912" s="5"/>
      <c r="K912" s="5"/>
    </row>
    <row r="913" spans="2:11">
      <c r="B913" s="4"/>
      <c r="C913" s="191" t="s">
        <v>22</v>
      </c>
      <c r="D913" s="191"/>
      <c r="E913" s="191"/>
      <c r="F913" s="191"/>
      <c r="G913" s="191"/>
      <c r="H913" s="192"/>
      <c r="I913" s="11">
        <f>SUM(H914:H956)</f>
        <v>11.083724999999996</v>
      </c>
      <c r="J913" s="18" t="s">
        <v>21</v>
      </c>
      <c r="K913" s="19"/>
    </row>
    <row r="914" spans="2:11">
      <c r="B914" s="4"/>
      <c r="C914" s="6" t="s">
        <v>512</v>
      </c>
      <c r="D914" s="7">
        <v>1</v>
      </c>
      <c r="E914" s="8">
        <v>4.1500000000000004</v>
      </c>
      <c r="F914" s="8">
        <v>4.4000000000000004</v>
      </c>
      <c r="G914" s="8">
        <v>0.05</v>
      </c>
      <c r="H914" s="9">
        <f t="shared" ref="H914:H921" si="87">PRODUCT(D914:G914)</f>
        <v>0.91300000000000014</v>
      </c>
      <c r="I914" s="10"/>
      <c r="J914" s="18"/>
      <c r="K914" s="19"/>
    </row>
    <row r="915" spans="2:11">
      <c r="B915" s="4"/>
      <c r="C915" s="6"/>
      <c r="D915" s="7">
        <v>11</v>
      </c>
      <c r="E915" s="8">
        <v>4.1500000000000004</v>
      </c>
      <c r="F915" s="8">
        <v>0.1</v>
      </c>
      <c r="G915" s="8">
        <v>0.15</v>
      </c>
      <c r="H915" s="9">
        <f t="shared" si="87"/>
        <v>0.68475000000000008</v>
      </c>
      <c r="I915" s="10"/>
      <c r="J915" s="18"/>
      <c r="K915" s="19"/>
    </row>
    <row r="916" spans="2:11">
      <c r="B916" s="4"/>
      <c r="C916" s="6"/>
      <c r="D916" s="7">
        <v>1</v>
      </c>
      <c r="E916" s="8">
        <v>4.05</v>
      </c>
      <c r="F916" s="8">
        <v>4.47</v>
      </c>
      <c r="G916" s="8">
        <v>0.05</v>
      </c>
      <c r="H916" s="9">
        <f t="shared" si="87"/>
        <v>0.90517499999999984</v>
      </c>
      <c r="I916" s="10"/>
      <c r="J916" s="18"/>
      <c r="K916" s="19"/>
    </row>
    <row r="917" spans="2:11">
      <c r="B917" s="4"/>
      <c r="C917" s="6"/>
      <c r="D917" s="7">
        <v>11</v>
      </c>
      <c r="E917" s="8">
        <v>4.05</v>
      </c>
      <c r="F917" s="8">
        <v>0.1</v>
      </c>
      <c r="G917" s="8">
        <v>0.15</v>
      </c>
      <c r="H917" s="9">
        <f t="shared" si="87"/>
        <v>0.66825000000000001</v>
      </c>
      <c r="I917" s="10"/>
      <c r="J917" s="18"/>
      <c r="K917" s="19"/>
    </row>
    <row r="918" spans="2:11">
      <c r="B918" s="4"/>
      <c r="C918" s="6"/>
      <c r="D918" s="7">
        <v>1</v>
      </c>
      <c r="E918" s="8">
        <v>4.1500000000000004</v>
      </c>
      <c r="F918" s="8">
        <v>2.5</v>
      </c>
      <c r="G918" s="8">
        <v>0.05</v>
      </c>
      <c r="H918" s="9">
        <f t="shared" si="87"/>
        <v>0.51875000000000004</v>
      </c>
      <c r="I918" s="10"/>
      <c r="J918" s="18"/>
      <c r="K918" s="19"/>
    </row>
    <row r="919" spans="2:11">
      <c r="B919" s="4"/>
      <c r="C919" s="6"/>
      <c r="D919" s="7">
        <v>10</v>
      </c>
      <c r="E919" s="8">
        <v>2.5</v>
      </c>
      <c r="F919" s="8">
        <v>0.1</v>
      </c>
      <c r="G919" s="8">
        <v>0.15</v>
      </c>
      <c r="H919" s="9">
        <f t="shared" si="87"/>
        <v>0.375</v>
      </c>
      <c r="I919" s="10"/>
      <c r="J919" s="18"/>
      <c r="K919" s="19"/>
    </row>
    <row r="920" spans="2:11">
      <c r="B920" s="4"/>
      <c r="C920" s="6"/>
      <c r="D920" s="7">
        <v>1</v>
      </c>
      <c r="E920" s="8">
        <v>4.05</v>
      </c>
      <c r="F920" s="8">
        <v>2.5</v>
      </c>
      <c r="G920" s="8">
        <v>0.05</v>
      </c>
      <c r="H920" s="9">
        <f t="shared" si="87"/>
        <v>0.50624999999999998</v>
      </c>
      <c r="I920" s="10"/>
      <c r="J920" s="18"/>
      <c r="K920" s="19"/>
    </row>
    <row r="921" spans="2:11">
      <c r="B921" s="4"/>
      <c r="C921" s="6"/>
      <c r="D921" s="7">
        <v>10</v>
      </c>
      <c r="E921" s="8">
        <v>2.5</v>
      </c>
      <c r="F921" s="8">
        <v>0.1</v>
      </c>
      <c r="G921" s="8">
        <v>0.15</v>
      </c>
      <c r="H921" s="9">
        <f t="shared" si="87"/>
        <v>0.375</v>
      </c>
      <c r="I921" s="10"/>
      <c r="J921" s="18"/>
      <c r="K921" s="19"/>
    </row>
    <row r="922" spans="2:11">
      <c r="B922" s="4"/>
      <c r="C922" s="6"/>
      <c r="D922" s="7"/>
      <c r="E922" s="8"/>
      <c r="F922" s="8"/>
      <c r="G922" s="8"/>
      <c r="H922" s="9"/>
      <c r="I922" s="10"/>
      <c r="J922" s="18"/>
      <c r="K922" s="19"/>
    </row>
    <row r="923" spans="2:11">
      <c r="B923" s="4"/>
      <c r="C923" s="6" t="s">
        <v>106</v>
      </c>
      <c r="D923" s="7">
        <v>1</v>
      </c>
      <c r="E923" s="8">
        <v>3.35</v>
      </c>
      <c r="F923" s="8">
        <v>4.51</v>
      </c>
      <c r="G923" s="8">
        <v>0.05</v>
      </c>
      <c r="H923" s="9">
        <f t="shared" ref="H923:H926" si="88">PRODUCT(D923:G923)</f>
        <v>0.75542500000000001</v>
      </c>
      <c r="I923" s="10"/>
      <c r="J923" s="18"/>
      <c r="K923" s="19"/>
    </row>
    <row r="924" spans="2:11">
      <c r="B924" s="4"/>
      <c r="C924" s="21"/>
      <c r="D924" s="7">
        <v>11</v>
      </c>
      <c r="E924" s="8">
        <v>3.35</v>
      </c>
      <c r="F924" s="8">
        <v>0.1</v>
      </c>
      <c r="G924" s="8">
        <v>0.15</v>
      </c>
      <c r="H924" s="9">
        <f t="shared" si="88"/>
        <v>0.55275000000000007</v>
      </c>
      <c r="I924" s="10"/>
      <c r="J924" s="18"/>
      <c r="K924" s="19"/>
    </row>
    <row r="925" spans="2:11">
      <c r="B925" s="4"/>
      <c r="C925" s="21"/>
      <c r="D925" s="7">
        <v>1</v>
      </c>
      <c r="E925" s="8">
        <v>3.35</v>
      </c>
      <c r="F925" s="8">
        <v>2.5</v>
      </c>
      <c r="G925" s="8">
        <v>0.05</v>
      </c>
      <c r="H925" s="9">
        <f t="shared" si="88"/>
        <v>0.41875000000000001</v>
      </c>
      <c r="I925" s="10"/>
      <c r="J925" s="18"/>
      <c r="K925" s="19"/>
    </row>
    <row r="926" spans="2:11">
      <c r="B926" s="4"/>
      <c r="C926" s="21"/>
      <c r="D926" s="7">
        <v>8</v>
      </c>
      <c r="E926" s="8">
        <v>2.5</v>
      </c>
      <c r="F926" s="8">
        <v>0.1</v>
      </c>
      <c r="G926" s="8">
        <v>0.15</v>
      </c>
      <c r="H926" s="9">
        <f t="shared" si="88"/>
        <v>0.3</v>
      </c>
      <c r="I926" s="10"/>
      <c r="J926" s="18"/>
      <c r="K926" s="19"/>
    </row>
    <row r="927" spans="2:11">
      <c r="B927" s="4"/>
      <c r="C927" s="21"/>
      <c r="D927" s="7"/>
      <c r="E927" s="8"/>
      <c r="F927" s="8"/>
      <c r="G927" s="8"/>
      <c r="H927" s="9"/>
      <c r="I927" s="10"/>
      <c r="J927" s="18"/>
      <c r="K927" s="19"/>
    </row>
    <row r="928" spans="2:11">
      <c r="B928" s="4"/>
      <c r="C928" s="6" t="s">
        <v>134</v>
      </c>
      <c r="D928" s="7">
        <v>1</v>
      </c>
      <c r="E928" s="8">
        <v>1.23</v>
      </c>
      <c r="F928" s="8">
        <v>2.9</v>
      </c>
      <c r="G928" s="8">
        <v>0.05</v>
      </c>
      <c r="H928" s="9">
        <f t="shared" ref="H928:H951" si="89">PRODUCT(D928:G928)</f>
        <v>0.17835000000000001</v>
      </c>
      <c r="I928" s="10"/>
      <c r="J928" s="18"/>
      <c r="K928" s="19"/>
    </row>
    <row r="929" spans="2:11">
      <c r="B929" s="4"/>
      <c r="C929" s="21"/>
      <c r="D929" s="7">
        <v>7</v>
      </c>
      <c r="E929" s="8">
        <v>1.23</v>
      </c>
      <c r="F929" s="8">
        <v>0.1</v>
      </c>
      <c r="G929" s="8">
        <v>0.15</v>
      </c>
      <c r="H929" s="9">
        <f t="shared" si="89"/>
        <v>0.12914999999999999</v>
      </c>
      <c r="I929" s="10"/>
      <c r="J929" s="18"/>
      <c r="K929" s="19"/>
    </row>
    <row r="930" spans="2:11">
      <c r="B930" s="4"/>
      <c r="C930" s="21"/>
      <c r="D930" s="7">
        <v>1</v>
      </c>
      <c r="E930" s="8">
        <v>2.9</v>
      </c>
      <c r="F930" s="8">
        <v>2.8</v>
      </c>
      <c r="G930" s="8">
        <v>0.05</v>
      </c>
      <c r="H930" s="9">
        <f t="shared" si="89"/>
        <v>0.40599999999999997</v>
      </c>
      <c r="I930" s="10"/>
      <c r="J930" s="18"/>
      <c r="K930" s="19"/>
    </row>
    <row r="931" spans="2:11">
      <c r="B931" s="4"/>
      <c r="C931" s="21"/>
      <c r="D931" s="7">
        <v>7</v>
      </c>
      <c r="E931" s="8">
        <v>2.8</v>
      </c>
      <c r="F931" s="8">
        <v>0.1</v>
      </c>
      <c r="G931" s="8">
        <v>0.15</v>
      </c>
      <c r="H931" s="9">
        <f t="shared" si="89"/>
        <v>0.29399999999999998</v>
      </c>
      <c r="I931" s="10"/>
      <c r="J931" s="18"/>
      <c r="K931" s="19"/>
    </row>
    <row r="932" spans="2:11">
      <c r="B932" s="4"/>
      <c r="C932" s="21"/>
      <c r="D932" s="7"/>
      <c r="E932" s="8"/>
      <c r="F932" s="8"/>
      <c r="G932" s="8"/>
      <c r="H932" s="9"/>
      <c r="I932" s="10"/>
      <c r="J932" s="18"/>
      <c r="K932" s="19"/>
    </row>
    <row r="933" spans="2:11" ht="16.5" customHeight="1">
      <c r="B933" s="4"/>
      <c r="C933" s="21"/>
      <c r="D933" s="7"/>
      <c r="E933" s="8"/>
      <c r="F933" s="8"/>
      <c r="G933" s="8"/>
      <c r="H933" s="9"/>
      <c r="I933" s="10"/>
      <c r="J933" s="18"/>
      <c r="K933" s="19"/>
    </row>
    <row r="934" spans="2:11" ht="18" customHeight="1">
      <c r="B934" s="4"/>
      <c r="C934" s="6" t="s">
        <v>110</v>
      </c>
      <c r="D934" s="7">
        <v>1</v>
      </c>
      <c r="E934" s="8">
        <v>1.9</v>
      </c>
      <c r="F934" s="8">
        <v>2.8</v>
      </c>
      <c r="G934" s="8">
        <v>0.05</v>
      </c>
      <c r="H934" s="9">
        <f t="shared" si="89"/>
        <v>0.26599999999999996</v>
      </c>
      <c r="I934" s="10"/>
      <c r="J934" s="18"/>
      <c r="K934" s="19"/>
    </row>
    <row r="935" spans="2:11" ht="18" customHeight="1">
      <c r="B935" s="4"/>
      <c r="C935" s="21"/>
      <c r="D935" s="7">
        <v>4</v>
      </c>
      <c r="E935" s="8">
        <v>2.8</v>
      </c>
      <c r="F935" s="8">
        <v>0.1</v>
      </c>
      <c r="G935" s="8">
        <v>0.15</v>
      </c>
      <c r="H935" s="9">
        <f t="shared" si="89"/>
        <v>0.16799999999999998</v>
      </c>
      <c r="I935" s="10"/>
      <c r="J935" s="18"/>
      <c r="K935" s="19"/>
    </row>
    <row r="936" spans="2:11" ht="18" customHeight="1">
      <c r="B936" s="4"/>
      <c r="C936" s="21"/>
      <c r="D936" s="7"/>
      <c r="E936" s="8"/>
      <c r="F936" s="8"/>
      <c r="G936" s="8"/>
      <c r="H936" s="9"/>
      <c r="I936" s="10"/>
      <c r="J936" s="18"/>
      <c r="K936" s="19"/>
    </row>
    <row r="937" spans="2:11">
      <c r="B937" s="4"/>
      <c r="C937" s="6" t="s">
        <v>135</v>
      </c>
      <c r="D937" s="7">
        <v>1</v>
      </c>
      <c r="E937" s="8">
        <v>3.95</v>
      </c>
      <c r="F937" s="8">
        <v>1.95</v>
      </c>
      <c r="G937" s="8">
        <v>0.05</v>
      </c>
      <c r="H937" s="9">
        <f t="shared" si="89"/>
        <v>0.38512500000000005</v>
      </c>
      <c r="I937" s="10"/>
      <c r="J937" s="18"/>
      <c r="K937" s="19"/>
    </row>
    <row r="938" spans="2:11">
      <c r="B938" s="4"/>
      <c r="C938" s="21"/>
      <c r="D938" s="7">
        <v>10</v>
      </c>
      <c r="E938" s="8">
        <v>1.95</v>
      </c>
      <c r="F938" s="8">
        <v>0.1</v>
      </c>
      <c r="G938" s="8">
        <v>0.15</v>
      </c>
      <c r="H938" s="9">
        <f t="shared" si="89"/>
        <v>0.29250000000000004</v>
      </c>
      <c r="I938" s="10"/>
      <c r="J938" s="18"/>
      <c r="K938" s="19"/>
    </row>
    <row r="939" spans="2:11">
      <c r="B939" s="4"/>
      <c r="C939" s="6"/>
      <c r="D939" s="7">
        <v>1</v>
      </c>
      <c r="E939" s="8">
        <v>1.25</v>
      </c>
      <c r="F939" s="8">
        <v>0.6</v>
      </c>
      <c r="G939" s="8">
        <v>0.05</v>
      </c>
      <c r="H939" s="9">
        <f t="shared" si="89"/>
        <v>3.7500000000000006E-2</v>
      </c>
      <c r="I939" s="10"/>
      <c r="J939" s="18"/>
      <c r="K939" s="19"/>
    </row>
    <row r="940" spans="2:11">
      <c r="B940" s="4"/>
      <c r="C940" s="21"/>
      <c r="D940" s="7">
        <v>4</v>
      </c>
      <c r="E940" s="8">
        <v>0.6</v>
      </c>
      <c r="F940" s="8">
        <v>0.1</v>
      </c>
      <c r="G940" s="8">
        <v>0.15</v>
      </c>
      <c r="H940" s="9">
        <f t="shared" si="89"/>
        <v>3.5999999999999997E-2</v>
      </c>
      <c r="I940" s="10"/>
      <c r="J940" s="18"/>
      <c r="K940" s="19"/>
    </row>
    <row r="941" spans="2:11">
      <c r="B941" s="4"/>
      <c r="C941" s="6"/>
      <c r="D941" s="7">
        <v>1</v>
      </c>
      <c r="E941" s="8">
        <v>0.6</v>
      </c>
      <c r="F941" s="8">
        <v>1.25</v>
      </c>
      <c r="G941" s="8">
        <v>0.05</v>
      </c>
      <c r="H941" s="9">
        <f t="shared" si="89"/>
        <v>3.7500000000000006E-2</v>
      </c>
      <c r="I941" s="10"/>
      <c r="J941" s="18"/>
      <c r="K941" s="19"/>
    </row>
    <row r="942" spans="2:11">
      <c r="B942" s="4"/>
      <c r="C942" s="21"/>
      <c r="D942" s="7">
        <v>3</v>
      </c>
      <c r="E942" s="8">
        <v>0.6</v>
      </c>
      <c r="F942" s="8">
        <v>0.1</v>
      </c>
      <c r="G942" s="8">
        <v>0.15</v>
      </c>
      <c r="H942" s="9">
        <f t="shared" si="89"/>
        <v>2.7E-2</v>
      </c>
      <c r="I942" s="10"/>
      <c r="J942" s="18"/>
      <c r="K942" s="19"/>
    </row>
    <row r="943" spans="2:11">
      <c r="B943" s="4"/>
      <c r="C943" s="21"/>
      <c r="D943" s="7"/>
      <c r="E943" s="8"/>
      <c r="F943" s="8"/>
      <c r="G943" s="8"/>
      <c r="H943" s="9"/>
      <c r="I943" s="10"/>
      <c r="J943" s="18"/>
      <c r="K943" s="19"/>
    </row>
    <row r="944" spans="2:11">
      <c r="B944" s="4"/>
      <c r="C944" s="6" t="s">
        <v>513</v>
      </c>
      <c r="D944" s="7">
        <v>1</v>
      </c>
      <c r="E944" s="8">
        <v>2.8</v>
      </c>
      <c r="F944" s="8">
        <v>2.2999999999999998</v>
      </c>
      <c r="G944" s="8">
        <v>0.05</v>
      </c>
      <c r="H944" s="9">
        <f t="shared" si="89"/>
        <v>0.32200000000000001</v>
      </c>
      <c r="I944" s="10"/>
      <c r="J944" s="18"/>
      <c r="K944" s="19"/>
    </row>
    <row r="945" spans="2:11">
      <c r="B945" s="4"/>
      <c r="C945" s="21"/>
      <c r="D945" s="7">
        <v>6</v>
      </c>
      <c r="E945" s="8">
        <v>2.8</v>
      </c>
      <c r="F945" s="8">
        <v>0.1</v>
      </c>
      <c r="G945" s="8">
        <v>0.15</v>
      </c>
      <c r="H945" s="9">
        <f t="shared" si="89"/>
        <v>0.25199999999999995</v>
      </c>
      <c r="I945" s="10"/>
      <c r="J945" s="18"/>
      <c r="K945" s="19"/>
    </row>
    <row r="946" spans="2:11">
      <c r="B946" s="4"/>
      <c r="C946" s="21"/>
      <c r="D946" s="7"/>
      <c r="E946" s="8"/>
      <c r="F946" s="8"/>
      <c r="G946" s="8"/>
      <c r="H946" s="9"/>
      <c r="I946" s="10"/>
      <c r="J946" s="18"/>
      <c r="K946" s="19"/>
    </row>
    <row r="947" spans="2:11">
      <c r="B947" s="4"/>
      <c r="C947" s="21" t="s">
        <v>514</v>
      </c>
      <c r="D947" s="7">
        <v>1</v>
      </c>
      <c r="E947" s="8">
        <v>1.61</v>
      </c>
      <c r="F947" s="8">
        <v>2.9</v>
      </c>
      <c r="G947" s="8">
        <v>0.05</v>
      </c>
      <c r="H947" s="9">
        <f t="shared" ref="H947:H948" si="90">PRODUCT(D947:G947)</f>
        <v>0.23345000000000005</v>
      </c>
      <c r="I947" s="10"/>
      <c r="J947" s="18"/>
      <c r="K947" s="19"/>
    </row>
    <row r="948" spans="2:11">
      <c r="B948" s="4"/>
      <c r="C948" s="21"/>
      <c r="D948" s="7">
        <v>7</v>
      </c>
      <c r="E948" s="8">
        <v>1.61</v>
      </c>
      <c r="F948" s="8">
        <v>0.1</v>
      </c>
      <c r="G948" s="8">
        <v>0.15</v>
      </c>
      <c r="H948" s="9">
        <f t="shared" si="90"/>
        <v>0.16905000000000003</v>
      </c>
      <c r="I948" s="10"/>
      <c r="J948" s="18"/>
      <c r="K948" s="19"/>
    </row>
    <row r="949" spans="2:11">
      <c r="B949" s="4"/>
      <c r="C949" s="21"/>
      <c r="D949" s="7"/>
      <c r="E949" s="8"/>
      <c r="F949" s="8"/>
      <c r="G949" s="8"/>
      <c r="H949" s="9"/>
      <c r="I949" s="10"/>
      <c r="J949" s="18"/>
      <c r="K949" s="19"/>
    </row>
    <row r="950" spans="2:11">
      <c r="B950" s="4"/>
      <c r="C950" s="6" t="s">
        <v>515</v>
      </c>
      <c r="D950" s="7">
        <v>1</v>
      </c>
      <c r="E950" s="8">
        <v>2.9</v>
      </c>
      <c r="F950" s="8">
        <v>2.5</v>
      </c>
      <c r="G950" s="8">
        <v>0.05</v>
      </c>
      <c r="H950" s="9">
        <f t="shared" si="89"/>
        <v>0.36250000000000004</v>
      </c>
      <c r="I950" s="10"/>
      <c r="J950" s="18"/>
      <c r="K950" s="19"/>
    </row>
    <row r="951" spans="2:11">
      <c r="B951" s="4"/>
      <c r="C951" s="21"/>
      <c r="D951" s="7">
        <v>7</v>
      </c>
      <c r="E951" s="8">
        <v>2.5</v>
      </c>
      <c r="F951" s="8">
        <v>0.1</v>
      </c>
      <c r="G951" s="8">
        <v>0.15</v>
      </c>
      <c r="H951" s="9">
        <f t="shared" si="89"/>
        <v>0.26250000000000001</v>
      </c>
      <c r="I951" s="10"/>
      <c r="J951" s="18"/>
      <c r="K951" s="19"/>
    </row>
    <row r="952" spans="2:11">
      <c r="B952" s="4"/>
      <c r="C952" s="21"/>
      <c r="D952" s="22"/>
      <c r="E952" s="23"/>
      <c r="F952" s="23"/>
      <c r="G952" s="23"/>
      <c r="H952" s="24"/>
      <c r="I952" s="10"/>
      <c r="J952" s="18"/>
      <c r="K952" s="19"/>
    </row>
    <row r="953" spans="2:11">
      <c r="B953" s="4"/>
      <c r="C953" s="6" t="s">
        <v>516</v>
      </c>
      <c r="D953" s="7">
        <v>1</v>
      </c>
      <c r="E953" s="8">
        <v>1.2</v>
      </c>
      <c r="F953" s="8">
        <v>1.2</v>
      </c>
      <c r="G953" s="8">
        <v>0.05</v>
      </c>
      <c r="H953" s="9">
        <f t="shared" ref="H953:H956" si="91">PRODUCT(D953:G953)</f>
        <v>7.1999999999999995E-2</v>
      </c>
      <c r="I953" s="10"/>
      <c r="J953" s="18"/>
      <c r="K953" s="19"/>
    </row>
    <row r="954" spans="2:11">
      <c r="B954" s="4"/>
      <c r="C954" s="21"/>
      <c r="D954" s="7">
        <v>3</v>
      </c>
      <c r="E954" s="8">
        <v>1.2</v>
      </c>
      <c r="F954" s="8">
        <v>0.1</v>
      </c>
      <c r="G954" s="8">
        <v>0.15</v>
      </c>
      <c r="H954" s="9">
        <f t="shared" si="91"/>
        <v>5.3999999999999999E-2</v>
      </c>
      <c r="I954" s="10"/>
      <c r="J954" s="18"/>
      <c r="K954" s="19"/>
    </row>
    <row r="955" spans="2:11">
      <c r="B955" s="4"/>
      <c r="C955" s="6"/>
      <c r="D955" s="7">
        <v>1</v>
      </c>
      <c r="E955" s="8">
        <v>1.2</v>
      </c>
      <c r="F955" s="8">
        <v>1.2</v>
      </c>
      <c r="G955" s="8">
        <v>0.05</v>
      </c>
      <c r="H955" s="9">
        <f t="shared" si="91"/>
        <v>7.1999999999999995E-2</v>
      </c>
      <c r="I955" s="10"/>
      <c r="J955" s="18"/>
      <c r="K955" s="19"/>
    </row>
    <row r="956" spans="2:11">
      <c r="B956" s="4"/>
      <c r="C956" s="21"/>
      <c r="D956" s="7">
        <v>3</v>
      </c>
      <c r="E956" s="8">
        <v>1.2</v>
      </c>
      <c r="F956" s="8">
        <v>0.1</v>
      </c>
      <c r="G956" s="8">
        <v>0.15</v>
      </c>
      <c r="H956" s="9">
        <f t="shared" si="91"/>
        <v>5.3999999999999999E-2</v>
      </c>
      <c r="I956" s="10"/>
      <c r="J956" s="18"/>
      <c r="K956" s="19"/>
    </row>
    <row r="957" spans="2:11">
      <c r="B957" s="4"/>
      <c r="C957" s="191" t="s">
        <v>23</v>
      </c>
      <c r="D957" s="191"/>
      <c r="E957" s="191"/>
      <c r="F957" s="191"/>
      <c r="G957" s="191"/>
      <c r="H957" s="192"/>
      <c r="I957" s="11">
        <f>SUM(H958:H1006)</f>
        <v>528.79528007999988</v>
      </c>
      <c r="J957" s="18" t="s">
        <v>24</v>
      </c>
      <c r="K957" s="19"/>
    </row>
    <row r="958" spans="2:11">
      <c r="B958" s="4"/>
      <c r="C958" s="6" t="s">
        <v>133</v>
      </c>
      <c r="D958" s="7">
        <v>11</v>
      </c>
      <c r="E958" s="28">
        <v>12.17</v>
      </c>
      <c r="F958" s="8">
        <v>0.99399999999999999</v>
      </c>
      <c r="G958" s="8"/>
      <c r="H958" s="9">
        <f t="shared" ref="H958:H972" si="92">PRODUCT(D958:G958)</f>
        <v>133.06677999999999</v>
      </c>
      <c r="I958" s="10"/>
      <c r="J958" s="18" t="s">
        <v>28</v>
      </c>
      <c r="K958" s="19"/>
    </row>
    <row r="959" spans="2:11">
      <c r="B959" s="4"/>
      <c r="C959" s="6"/>
      <c r="D959" s="7">
        <v>11</v>
      </c>
      <c r="E959" s="28">
        <f>1.85+1.05+3+1.15</f>
        <v>7.0500000000000007</v>
      </c>
      <c r="F959" s="8">
        <v>0.56000000000000005</v>
      </c>
      <c r="G959" s="8"/>
      <c r="H959" s="9">
        <f t="shared" si="92"/>
        <v>43.428000000000011</v>
      </c>
      <c r="I959" s="10"/>
      <c r="J959" s="18" t="s">
        <v>26</v>
      </c>
      <c r="K959" s="19"/>
    </row>
    <row r="960" spans="2:11">
      <c r="B960" s="4"/>
      <c r="C960" s="6"/>
      <c r="D960" s="7">
        <v>10</v>
      </c>
      <c r="E960" s="8">
        <v>3.07</v>
      </c>
      <c r="F960" s="8">
        <v>0.56000000000000005</v>
      </c>
      <c r="G960" s="8"/>
      <c r="H960" s="9">
        <f t="shared" si="92"/>
        <v>17.192</v>
      </c>
      <c r="I960" s="10"/>
      <c r="J960" s="18" t="s">
        <v>26</v>
      </c>
      <c r="K960" s="19"/>
    </row>
    <row r="961" spans="2:11">
      <c r="B961" s="4"/>
      <c r="C961" s="6"/>
      <c r="D961" s="7">
        <v>10</v>
      </c>
      <c r="E961" s="8">
        <v>2.76</v>
      </c>
      <c r="F961" s="8">
        <v>0.56000000000000005</v>
      </c>
      <c r="G961" s="8"/>
      <c r="H961" s="9">
        <f t="shared" si="92"/>
        <v>15.456</v>
      </c>
      <c r="I961" s="10"/>
      <c r="J961" s="18" t="s">
        <v>26</v>
      </c>
      <c r="K961" s="19"/>
    </row>
    <row r="962" spans="2:11">
      <c r="B962" s="4"/>
      <c r="C962" s="6"/>
      <c r="D962" s="7">
        <v>10</v>
      </c>
      <c r="E962" s="8">
        <v>3.06</v>
      </c>
      <c r="F962" s="8">
        <v>0.56000000000000005</v>
      </c>
      <c r="G962" s="8"/>
      <c r="H962" s="9">
        <f t="shared" si="92"/>
        <v>17.136000000000003</v>
      </c>
      <c r="I962" s="10"/>
      <c r="J962" s="18" t="s">
        <v>26</v>
      </c>
      <c r="K962" s="19"/>
    </row>
    <row r="963" spans="2:11">
      <c r="B963" s="4"/>
      <c r="C963" s="6"/>
      <c r="D963" s="7">
        <v>10</v>
      </c>
      <c r="E963" s="8">
        <v>2.76</v>
      </c>
      <c r="F963" s="8">
        <v>0.56000000000000005</v>
      </c>
      <c r="G963" s="8"/>
      <c r="H963" s="9">
        <f t="shared" si="92"/>
        <v>15.456</v>
      </c>
      <c r="I963" s="10"/>
      <c r="J963" s="18" t="s">
        <v>26</v>
      </c>
      <c r="K963" s="19"/>
    </row>
    <row r="964" spans="2:11">
      <c r="B964" s="4"/>
      <c r="C964" s="37" t="s">
        <v>137</v>
      </c>
      <c r="D964" s="38">
        <f>4.15/0.25</f>
        <v>16.600000000000001</v>
      </c>
      <c r="E964" s="8">
        <v>4.4000000000000004</v>
      </c>
      <c r="F964" s="8">
        <v>0.222</v>
      </c>
      <c r="G964" s="8"/>
      <c r="H964" s="9">
        <f t="shared" si="92"/>
        <v>16.214880000000001</v>
      </c>
      <c r="I964" s="10"/>
      <c r="J964" s="18" t="s">
        <v>29</v>
      </c>
      <c r="K964" s="19"/>
    </row>
    <row r="965" spans="2:11">
      <c r="B965" s="4"/>
      <c r="C965" s="37"/>
      <c r="D965" s="38">
        <f>4.053/0.25</f>
        <v>16.212</v>
      </c>
      <c r="E965" s="8">
        <v>4.47</v>
      </c>
      <c r="F965" s="8">
        <v>0.222</v>
      </c>
      <c r="G965" s="8"/>
      <c r="H965" s="9">
        <f t="shared" si="92"/>
        <v>16.087816079999996</v>
      </c>
      <c r="I965" s="10"/>
      <c r="J965" s="18" t="s">
        <v>29</v>
      </c>
      <c r="K965" s="19"/>
    </row>
    <row r="966" spans="2:11">
      <c r="B966" s="4"/>
      <c r="C966" s="37"/>
      <c r="D966" s="38">
        <f>2.5/0.25</f>
        <v>10</v>
      </c>
      <c r="E966" s="8">
        <v>4.1500000000000004</v>
      </c>
      <c r="F966" s="8">
        <v>0.222</v>
      </c>
      <c r="G966" s="8"/>
      <c r="H966" s="9">
        <f t="shared" si="92"/>
        <v>9.213000000000001</v>
      </c>
      <c r="I966" s="10"/>
      <c r="J966" s="18" t="s">
        <v>29</v>
      </c>
      <c r="K966" s="19"/>
    </row>
    <row r="967" spans="2:11">
      <c r="B967" s="4"/>
      <c r="C967" s="37"/>
      <c r="D967" s="38">
        <f>2.5/0.25</f>
        <v>10</v>
      </c>
      <c r="E967" s="8">
        <v>4.05</v>
      </c>
      <c r="F967" s="8">
        <v>0.222</v>
      </c>
      <c r="G967" s="8"/>
      <c r="H967" s="9">
        <f t="shared" si="92"/>
        <v>8.9909999999999997</v>
      </c>
      <c r="I967" s="10"/>
      <c r="J967" s="18" t="s">
        <v>29</v>
      </c>
      <c r="K967" s="19"/>
    </row>
    <row r="968" spans="2:11">
      <c r="B968" s="4"/>
      <c r="C968" s="6"/>
      <c r="D968" s="7"/>
      <c r="E968" s="8"/>
      <c r="F968" s="8"/>
      <c r="G968" s="8"/>
      <c r="H968" s="9"/>
      <c r="I968" s="10"/>
      <c r="J968" s="18"/>
      <c r="K968" s="19"/>
    </row>
    <row r="969" spans="2:11">
      <c r="B969" s="4"/>
      <c r="C969" s="6" t="s">
        <v>106</v>
      </c>
      <c r="D969" s="7">
        <v>8</v>
      </c>
      <c r="E969" s="8">
        <v>2.87</v>
      </c>
      <c r="F969" s="8">
        <v>0.56000000000000005</v>
      </c>
      <c r="G969" s="8"/>
      <c r="H969" s="9">
        <f t="shared" si="92"/>
        <v>12.857600000000001</v>
      </c>
      <c r="I969" s="10"/>
      <c r="J969" s="18" t="s">
        <v>26</v>
      </c>
      <c r="K969" s="19"/>
    </row>
    <row r="970" spans="2:11">
      <c r="B970" s="4"/>
      <c r="C970" s="21"/>
      <c r="D970" s="7">
        <v>8</v>
      </c>
      <c r="E970" s="8">
        <v>3.18</v>
      </c>
      <c r="F970" s="8">
        <v>0.56000000000000005</v>
      </c>
      <c r="G970" s="8"/>
      <c r="H970" s="9">
        <f t="shared" si="92"/>
        <v>14.246400000000001</v>
      </c>
      <c r="I970" s="10"/>
      <c r="J970" s="18" t="s">
        <v>26</v>
      </c>
      <c r="K970" s="19"/>
    </row>
    <row r="971" spans="2:11">
      <c r="B971" s="4"/>
      <c r="C971" s="37" t="s">
        <v>137</v>
      </c>
      <c r="D971" s="38">
        <f>3.35/0.25</f>
        <v>13.4</v>
      </c>
      <c r="E971" s="8">
        <v>4.5199999999999996</v>
      </c>
      <c r="F971" s="8">
        <v>0.222</v>
      </c>
      <c r="G971" s="8"/>
      <c r="H971" s="9">
        <f t="shared" si="92"/>
        <v>13.446095999999999</v>
      </c>
      <c r="I971" s="10"/>
      <c r="J971" s="18" t="s">
        <v>29</v>
      </c>
      <c r="K971" s="19"/>
    </row>
    <row r="972" spans="2:11">
      <c r="B972" s="4"/>
      <c r="C972" s="37"/>
      <c r="D972" s="38">
        <f>3.5/0.25</f>
        <v>14</v>
      </c>
      <c r="E972" s="8">
        <v>3.35</v>
      </c>
      <c r="F972" s="8">
        <v>0.222</v>
      </c>
      <c r="G972" s="8"/>
      <c r="H972" s="9">
        <f t="shared" si="92"/>
        <v>10.411799999999999</v>
      </c>
      <c r="I972" s="10"/>
      <c r="J972" s="18" t="s">
        <v>29</v>
      </c>
      <c r="K972" s="19"/>
    </row>
    <row r="973" spans="2:11">
      <c r="B973" s="4"/>
      <c r="C973" s="37"/>
      <c r="D973" s="38"/>
      <c r="E973" s="8"/>
      <c r="F973" s="8"/>
      <c r="G973" s="8"/>
      <c r="H973" s="9"/>
      <c r="I973" s="10"/>
      <c r="J973" s="18"/>
      <c r="K973" s="19"/>
    </row>
    <row r="974" spans="2:11">
      <c r="B974" s="4"/>
      <c r="C974" s="6" t="s">
        <v>134</v>
      </c>
      <c r="D974" s="7">
        <v>7</v>
      </c>
      <c r="E974" s="8">
        <v>4.8600000000000003</v>
      </c>
      <c r="F974" s="8">
        <v>0.56000000000000005</v>
      </c>
      <c r="G974" s="8"/>
      <c r="H974" s="9">
        <f t="shared" ref="H974:H975" si="93">PRODUCT(D974:G974)</f>
        <v>19.051200000000005</v>
      </c>
      <c r="I974" s="10"/>
      <c r="J974" s="18" t="s">
        <v>26</v>
      </c>
      <c r="K974" s="19"/>
    </row>
    <row r="975" spans="2:11">
      <c r="B975" s="4"/>
      <c r="C975" s="21"/>
      <c r="D975" s="7">
        <v>7</v>
      </c>
      <c r="E975" s="8">
        <v>4.55</v>
      </c>
      <c r="F975" s="8">
        <v>0.56000000000000005</v>
      </c>
      <c r="G975" s="8"/>
      <c r="H975" s="9">
        <f t="shared" si="93"/>
        <v>17.836000000000002</v>
      </c>
      <c r="I975" s="10"/>
      <c r="J975" s="18" t="s">
        <v>26</v>
      </c>
      <c r="K975" s="19"/>
    </row>
    <row r="976" spans="2:11">
      <c r="B976" s="4"/>
      <c r="C976" s="21"/>
      <c r="D976" s="7"/>
      <c r="E976" s="8"/>
      <c r="F976" s="8"/>
      <c r="G976" s="8"/>
      <c r="H976" s="9"/>
      <c r="I976" s="10"/>
      <c r="J976" s="18"/>
      <c r="K976" s="19"/>
    </row>
    <row r="977" spans="2:11">
      <c r="B977" s="4"/>
      <c r="C977" s="37" t="s">
        <v>137</v>
      </c>
      <c r="D977" s="38">
        <f>2.8/0.25</f>
        <v>11.2</v>
      </c>
      <c r="E977" s="8">
        <v>2.9</v>
      </c>
      <c r="F977" s="8">
        <v>0.222</v>
      </c>
      <c r="G977" s="8"/>
      <c r="H977" s="9">
        <f t="shared" ref="H977:H978" si="94">PRODUCT(D977:G977)</f>
        <v>7.2105599999999992</v>
      </c>
      <c r="I977" s="10"/>
      <c r="J977" s="18" t="s">
        <v>29</v>
      </c>
      <c r="K977" s="19"/>
    </row>
    <row r="978" spans="2:11">
      <c r="B978" s="4"/>
      <c r="C978" s="21"/>
      <c r="D978" s="38">
        <f>1.23/0.25</f>
        <v>4.92</v>
      </c>
      <c r="E978" s="8">
        <v>2.9</v>
      </c>
      <c r="F978" s="8">
        <v>0.222</v>
      </c>
      <c r="G978" s="8"/>
      <c r="H978" s="9">
        <f t="shared" si="94"/>
        <v>3.1674959999999999</v>
      </c>
      <c r="I978" s="10"/>
      <c r="J978" s="18" t="s">
        <v>29</v>
      </c>
      <c r="K978" s="19"/>
    </row>
    <row r="979" spans="2:11">
      <c r="B979" s="4"/>
      <c r="C979" s="21"/>
      <c r="D979" s="7"/>
      <c r="E979" s="8"/>
      <c r="F979" s="8"/>
      <c r="G979" s="8"/>
      <c r="H979" s="9"/>
      <c r="I979" s="10"/>
      <c r="J979" s="18"/>
      <c r="K979" s="19"/>
    </row>
    <row r="980" spans="2:11">
      <c r="B980" s="4"/>
      <c r="C980" s="6" t="s">
        <v>110</v>
      </c>
      <c r="D980" s="7">
        <v>4</v>
      </c>
      <c r="E980" s="8">
        <v>3.45</v>
      </c>
      <c r="F980" s="8">
        <v>0.56000000000000005</v>
      </c>
      <c r="G980" s="8"/>
      <c r="H980" s="9">
        <f t="shared" ref="H980:H983" si="95">PRODUCT(D980:G980)</f>
        <v>7.7280000000000015</v>
      </c>
      <c r="I980" s="10"/>
      <c r="J980" s="18" t="s">
        <v>26</v>
      </c>
      <c r="K980" s="19"/>
    </row>
    <row r="981" spans="2:11">
      <c r="B981" s="4"/>
      <c r="C981" s="21"/>
      <c r="D981" s="7">
        <v>4</v>
      </c>
      <c r="E981" s="8">
        <v>3.14</v>
      </c>
      <c r="F981" s="8">
        <v>0.56000000000000005</v>
      </c>
      <c r="G981" s="8"/>
      <c r="H981" s="9">
        <f t="shared" si="95"/>
        <v>7.0336000000000007</v>
      </c>
      <c r="I981" s="10"/>
      <c r="J981" s="18" t="s">
        <v>26</v>
      </c>
      <c r="K981" s="19"/>
    </row>
    <row r="982" spans="2:11">
      <c r="B982" s="4"/>
      <c r="C982" s="21"/>
      <c r="D982" s="7"/>
      <c r="E982" s="8"/>
      <c r="F982" s="8"/>
      <c r="G982" s="8"/>
      <c r="H982" s="9"/>
      <c r="I982" s="10"/>
      <c r="J982" s="18"/>
      <c r="K982" s="19"/>
    </row>
    <row r="983" spans="2:11">
      <c r="B983" s="4"/>
      <c r="C983" s="37" t="s">
        <v>137</v>
      </c>
      <c r="D983" s="38">
        <f>2.8/0.25</f>
        <v>11.2</v>
      </c>
      <c r="E983" s="8">
        <v>1.9</v>
      </c>
      <c r="F983" s="8">
        <v>0.222</v>
      </c>
      <c r="G983" s="8"/>
      <c r="H983" s="9">
        <f t="shared" si="95"/>
        <v>4.7241599999999995</v>
      </c>
      <c r="I983" s="10"/>
      <c r="J983" s="18" t="s">
        <v>29</v>
      </c>
      <c r="K983" s="19"/>
    </row>
    <row r="984" spans="2:11">
      <c r="B984" s="4"/>
      <c r="C984" s="21"/>
      <c r="D984" s="7"/>
      <c r="E984" s="8"/>
      <c r="F984" s="8"/>
      <c r="G984" s="8"/>
      <c r="H984" s="9"/>
      <c r="I984" s="10"/>
      <c r="J984" s="18"/>
      <c r="K984" s="19"/>
    </row>
    <row r="985" spans="2:11">
      <c r="B985" s="4"/>
      <c r="C985" s="6" t="s">
        <v>135</v>
      </c>
      <c r="D985" s="7">
        <v>10</v>
      </c>
      <c r="E985" s="8">
        <v>3.45</v>
      </c>
      <c r="F985" s="8">
        <v>0.56000000000000005</v>
      </c>
      <c r="G985" s="8"/>
      <c r="H985" s="9">
        <f t="shared" ref="H985:H990" si="96">PRODUCT(D985:G985)</f>
        <v>19.32</v>
      </c>
      <c r="I985" s="10"/>
      <c r="J985" s="18" t="s">
        <v>26</v>
      </c>
      <c r="K985" s="19"/>
    </row>
    <row r="986" spans="2:11">
      <c r="B986" s="4"/>
      <c r="C986" s="21"/>
      <c r="D986" s="7">
        <v>10</v>
      </c>
      <c r="E986" s="8">
        <v>3.15</v>
      </c>
      <c r="F986" s="8">
        <v>0.56000000000000005</v>
      </c>
      <c r="G986" s="8"/>
      <c r="H986" s="9">
        <f t="shared" si="96"/>
        <v>17.64</v>
      </c>
      <c r="I986" s="10"/>
      <c r="J986" s="18" t="s">
        <v>26</v>
      </c>
      <c r="K986" s="19"/>
    </row>
    <row r="987" spans="2:11">
      <c r="B987" s="4"/>
      <c r="C987" s="21"/>
      <c r="D987" s="7"/>
      <c r="E987" s="8"/>
      <c r="F987" s="8"/>
      <c r="G987" s="8"/>
      <c r="H987" s="9"/>
      <c r="I987" s="10"/>
      <c r="J987" s="18"/>
      <c r="K987" s="19"/>
    </row>
    <row r="988" spans="2:11">
      <c r="B988" s="4"/>
      <c r="C988" s="37" t="s">
        <v>137</v>
      </c>
      <c r="D988" s="38">
        <f>1.95/0.25</f>
        <v>7.8</v>
      </c>
      <c r="E988" s="8">
        <v>1.25</v>
      </c>
      <c r="F988" s="8">
        <v>0.222</v>
      </c>
      <c r="G988" s="8"/>
      <c r="H988" s="9">
        <f t="shared" si="96"/>
        <v>2.1644999999999999</v>
      </c>
      <c r="I988" s="10"/>
      <c r="J988" s="18" t="s">
        <v>29</v>
      </c>
      <c r="K988" s="19"/>
    </row>
    <row r="989" spans="2:11">
      <c r="B989" s="4"/>
      <c r="C989" s="21"/>
      <c r="D989" s="38">
        <f>0.6/0.25</f>
        <v>2.4</v>
      </c>
      <c r="E989" s="8">
        <v>1.25</v>
      </c>
      <c r="F989" s="8">
        <v>0.222</v>
      </c>
      <c r="G989" s="8"/>
      <c r="H989" s="9">
        <f t="shared" si="96"/>
        <v>0.66600000000000004</v>
      </c>
      <c r="I989" s="10"/>
      <c r="J989" s="18" t="s">
        <v>29</v>
      </c>
      <c r="K989" s="19"/>
    </row>
    <row r="990" spans="2:11">
      <c r="B990" s="4"/>
      <c r="C990" s="21"/>
      <c r="D990" s="38">
        <f>0.6/0.25</f>
        <v>2.4</v>
      </c>
      <c r="E990" s="8">
        <v>1.25</v>
      </c>
      <c r="F990" s="8">
        <v>0.222</v>
      </c>
      <c r="G990" s="8"/>
      <c r="H990" s="9">
        <f t="shared" si="96"/>
        <v>0.66600000000000004</v>
      </c>
      <c r="I990" s="10"/>
      <c r="J990" s="18" t="s">
        <v>29</v>
      </c>
      <c r="K990" s="19"/>
    </row>
    <row r="991" spans="2:11">
      <c r="B991" s="4"/>
      <c r="C991" s="21"/>
      <c r="D991" s="7"/>
      <c r="E991" s="8"/>
      <c r="F991" s="8"/>
      <c r="G991" s="8"/>
      <c r="H991" s="9"/>
      <c r="I991" s="10"/>
      <c r="J991" s="18"/>
      <c r="K991" s="19"/>
    </row>
    <row r="992" spans="2:11">
      <c r="B992" s="4"/>
      <c r="C992" s="6" t="s">
        <v>138</v>
      </c>
      <c r="D992" s="7">
        <v>7</v>
      </c>
      <c r="E992" s="8">
        <v>2.2200000000000002</v>
      </c>
      <c r="F992" s="8">
        <v>0.56000000000000005</v>
      </c>
      <c r="G992" s="8"/>
      <c r="H992" s="9">
        <f t="shared" ref="H992:H1003" si="97">PRODUCT(D992:G992)</f>
        <v>8.7024000000000008</v>
      </c>
      <c r="I992" s="10"/>
      <c r="J992" s="18" t="s">
        <v>28</v>
      </c>
      <c r="K992" s="19"/>
    </row>
    <row r="993" spans="2:11">
      <c r="B993" s="4"/>
      <c r="C993" s="21"/>
      <c r="D993" s="7">
        <v>7</v>
      </c>
      <c r="E993" s="8">
        <v>1.91</v>
      </c>
      <c r="F993" s="8">
        <v>0.56000000000000005</v>
      </c>
      <c r="G993" s="8"/>
      <c r="H993" s="9">
        <f t="shared" si="97"/>
        <v>7.4872000000000005</v>
      </c>
      <c r="I993" s="10"/>
      <c r="J993" s="18" t="s">
        <v>26</v>
      </c>
      <c r="K993" s="19"/>
    </row>
    <row r="994" spans="2:11">
      <c r="B994" s="4"/>
      <c r="C994" s="37" t="s">
        <v>137</v>
      </c>
      <c r="D994" s="38">
        <f>1.61/0.25</f>
        <v>6.44</v>
      </c>
      <c r="E994" s="8">
        <v>2.9</v>
      </c>
      <c r="F994" s="8">
        <v>0.222</v>
      </c>
      <c r="G994" s="8"/>
      <c r="H994" s="9">
        <f t="shared" si="97"/>
        <v>4.1460720000000002</v>
      </c>
      <c r="I994" s="10"/>
      <c r="J994" s="18" t="s">
        <v>29</v>
      </c>
      <c r="K994" s="19"/>
    </row>
    <row r="995" spans="2:11">
      <c r="B995" s="4"/>
      <c r="C995" s="21"/>
      <c r="D995" s="7"/>
      <c r="E995" s="8"/>
      <c r="F995" s="8"/>
      <c r="G995" s="8"/>
      <c r="H995" s="9"/>
      <c r="I995" s="10"/>
      <c r="J995" s="18"/>
      <c r="K995" s="19"/>
    </row>
    <row r="996" spans="2:11">
      <c r="B996" s="4"/>
      <c r="C996" s="21"/>
      <c r="D996" s="7"/>
      <c r="E996" s="8"/>
      <c r="F996" s="8"/>
      <c r="G996" s="8"/>
      <c r="H996" s="9"/>
      <c r="I996" s="10"/>
      <c r="J996" s="18"/>
      <c r="K996" s="19"/>
    </row>
    <row r="997" spans="2:11">
      <c r="B997" s="4"/>
      <c r="C997" s="21" t="s">
        <v>517</v>
      </c>
      <c r="D997" s="7">
        <v>7</v>
      </c>
      <c r="E997" s="8">
        <v>3.18</v>
      </c>
      <c r="F997" s="8">
        <v>0.56000000000000005</v>
      </c>
      <c r="G997" s="8"/>
      <c r="H997" s="9">
        <f t="shared" si="97"/>
        <v>12.465600000000002</v>
      </c>
      <c r="I997" s="10"/>
      <c r="J997" s="18" t="s">
        <v>28</v>
      </c>
      <c r="K997" s="19"/>
    </row>
    <row r="998" spans="2:11">
      <c r="B998" s="4"/>
      <c r="C998" s="21"/>
      <c r="D998" s="7">
        <v>7</v>
      </c>
      <c r="E998" s="8">
        <v>2.87</v>
      </c>
      <c r="F998" s="8">
        <v>0.56000000000000005</v>
      </c>
      <c r="G998" s="8"/>
      <c r="H998" s="9">
        <f t="shared" si="97"/>
        <v>11.250400000000001</v>
      </c>
      <c r="I998" s="10"/>
      <c r="J998" s="18" t="s">
        <v>26</v>
      </c>
      <c r="K998" s="19"/>
    </row>
    <row r="999" spans="2:11" ht="15.75" customHeight="1">
      <c r="B999" s="4"/>
      <c r="C999" s="37" t="s">
        <v>137</v>
      </c>
      <c r="D999" s="38">
        <f>2.5/0.25</f>
        <v>10</v>
      </c>
      <c r="E999" s="8">
        <v>2.9</v>
      </c>
      <c r="F999" s="8">
        <v>0.222</v>
      </c>
      <c r="G999" s="8"/>
      <c r="H999" s="9">
        <f t="shared" si="97"/>
        <v>6.4379999999999997</v>
      </c>
      <c r="I999" s="10"/>
      <c r="J999" s="18" t="s">
        <v>29</v>
      </c>
      <c r="K999" s="19"/>
    </row>
    <row r="1000" spans="2:11" ht="15.75" customHeight="1">
      <c r="B1000" s="4"/>
      <c r="C1000" s="21"/>
      <c r="D1000" s="7"/>
      <c r="E1000" s="8"/>
      <c r="F1000" s="8"/>
      <c r="G1000" s="8"/>
      <c r="H1000" s="9"/>
      <c r="I1000" s="10"/>
      <c r="J1000" s="18"/>
      <c r="K1000" s="19"/>
    </row>
    <row r="1001" spans="2:11">
      <c r="B1001" s="4"/>
      <c r="C1001" s="21" t="s">
        <v>518</v>
      </c>
      <c r="D1001" s="7">
        <v>6</v>
      </c>
      <c r="E1001" s="8">
        <v>3.45</v>
      </c>
      <c r="F1001" s="8">
        <v>0.56000000000000005</v>
      </c>
      <c r="G1001" s="8"/>
      <c r="H1001" s="9">
        <f t="shared" si="97"/>
        <v>11.592000000000002</v>
      </c>
      <c r="I1001" s="10"/>
      <c r="J1001" s="18" t="s">
        <v>26</v>
      </c>
      <c r="K1001" s="19"/>
    </row>
    <row r="1002" spans="2:11">
      <c r="B1002" s="4"/>
      <c r="C1002" s="21"/>
      <c r="D1002" s="7">
        <v>6</v>
      </c>
      <c r="E1002" s="8">
        <v>3.15</v>
      </c>
      <c r="F1002" s="8">
        <v>0.56000000000000005</v>
      </c>
      <c r="G1002" s="8"/>
      <c r="H1002" s="9">
        <f t="shared" si="97"/>
        <v>10.584</v>
      </c>
      <c r="I1002" s="10"/>
      <c r="J1002" s="18" t="s">
        <v>26</v>
      </c>
      <c r="K1002" s="19"/>
    </row>
    <row r="1003" spans="2:11">
      <c r="B1003" s="4"/>
      <c r="C1003" s="37" t="s">
        <v>137</v>
      </c>
      <c r="D1003" s="38">
        <f>2.8/0.25</f>
        <v>11.2</v>
      </c>
      <c r="E1003" s="8">
        <v>2.2999999999999998</v>
      </c>
      <c r="F1003" s="8">
        <v>0.222</v>
      </c>
      <c r="G1003" s="8"/>
      <c r="H1003" s="9">
        <f t="shared" si="97"/>
        <v>5.7187199999999994</v>
      </c>
      <c r="I1003" s="10"/>
      <c r="J1003" s="18" t="s">
        <v>29</v>
      </c>
      <c r="K1003" s="19"/>
    </row>
    <row r="1004" spans="2:11">
      <c r="B1004" s="4"/>
      <c r="C1004" s="37"/>
      <c r="D1004" s="38"/>
      <c r="E1004" s="8"/>
      <c r="F1004" s="8"/>
      <c r="G1004" s="8"/>
      <c r="H1004" s="9"/>
      <c r="I1004" s="10"/>
      <c r="J1004" s="18"/>
      <c r="K1004" s="19"/>
    </row>
    <row r="1005" spans="2:11">
      <c r="B1005" s="4"/>
      <c r="C1005" s="37"/>
      <c r="D1005" s="38"/>
      <c r="E1005" s="8"/>
      <c r="F1005" s="8"/>
      <c r="G1005" s="8"/>
      <c r="H1005" s="9"/>
      <c r="I1005" s="10"/>
      <c r="J1005" s="18"/>
      <c r="K1005" s="19"/>
    </row>
    <row r="1006" spans="2:11">
      <c r="B1006" s="4"/>
      <c r="C1006" s="37"/>
      <c r="D1006" s="38"/>
      <c r="E1006" s="8"/>
      <c r="F1006" s="8"/>
      <c r="G1006" s="8"/>
      <c r="H1006" s="9"/>
      <c r="I1006" s="10"/>
      <c r="J1006" s="18"/>
      <c r="K1006" s="19"/>
    </row>
    <row r="1007" spans="2:11">
      <c r="B1007" s="4"/>
      <c r="C1007" s="191" t="s">
        <v>27</v>
      </c>
      <c r="D1007" s="191"/>
      <c r="E1007" s="191"/>
      <c r="F1007" s="191"/>
      <c r="G1007" s="191"/>
      <c r="H1007" s="192"/>
      <c r="I1007" s="11">
        <f>SUM(H1008:H1037)</f>
        <v>127.79549999999999</v>
      </c>
      <c r="J1007" s="18" t="s">
        <v>19</v>
      </c>
      <c r="K1007" s="19"/>
    </row>
    <row r="1008" spans="2:11">
      <c r="B1008" s="4"/>
      <c r="C1008" s="6" t="s">
        <v>512</v>
      </c>
      <c r="D1008" s="7">
        <v>1</v>
      </c>
      <c r="E1008" s="8">
        <v>4.1500000000000004</v>
      </c>
      <c r="F1008" s="8">
        <v>4.4000000000000004</v>
      </c>
      <c r="G1008" s="8"/>
      <c r="H1008" s="9">
        <f t="shared" ref="H1008:H1011" si="98">PRODUCT(D1008:G1008)</f>
        <v>18.260000000000002</v>
      </c>
      <c r="I1008" s="10"/>
      <c r="J1008" s="18"/>
      <c r="K1008" s="19"/>
    </row>
    <row r="1009" spans="2:11">
      <c r="B1009" s="4"/>
      <c r="C1009" s="6"/>
      <c r="D1009" s="7">
        <v>1</v>
      </c>
      <c r="E1009" s="8">
        <v>4.05</v>
      </c>
      <c r="F1009" s="8">
        <v>4.47</v>
      </c>
      <c r="G1009" s="8"/>
      <c r="H1009" s="9">
        <f t="shared" si="98"/>
        <v>18.103499999999997</v>
      </c>
      <c r="I1009" s="10"/>
      <c r="J1009" s="18"/>
      <c r="K1009" s="19"/>
    </row>
    <row r="1010" spans="2:11">
      <c r="B1010" s="4"/>
      <c r="C1010" s="6"/>
      <c r="D1010" s="7">
        <v>1</v>
      </c>
      <c r="E1010" s="8">
        <v>4.1500000000000004</v>
      </c>
      <c r="F1010" s="8">
        <v>2.5</v>
      </c>
      <c r="G1010" s="8"/>
      <c r="H1010" s="9">
        <f t="shared" si="98"/>
        <v>10.375</v>
      </c>
      <c r="I1010" s="10"/>
      <c r="J1010" s="18"/>
      <c r="K1010" s="19"/>
    </row>
    <row r="1011" spans="2:11">
      <c r="B1011" s="4"/>
      <c r="C1011" s="6"/>
      <c r="D1011" s="7">
        <v>1</v>
      </c>
      <c r="E1011" s="8">
        <v>4.05</v>
      </c>
      <c r="F1011" s="8">
        <v>2.5</v>
      </c>
      <c r="G1011" s="8"/>
      <c r="H1011" s="9">
        <f t="shared" si="98"/>
        <v>10.125</v>
      </c>
      <c r="I1011" s="10"/>
      <c r="J1011" s="18"/>
      <c r="K1011" s="19"/>
    </row>
    <row r="1012" spans="2:11">
      <c r="B1012" s="4"/>
      <c r="C1012" s="6"/>
      <c r="D1012" s="7"/>
      <c r="E1012" s="8"/>
      <c r="F1012" s="8"/>
      <c r="G1012" s="8"/>
      <c r="H1012" s="9"/>
      <c r="I1012" s="10"/>
      <c r="J1012" s="18"/>
      <c r="K1012" s="19"/>
    </row>
    <row r="1013" spans="2:11">
      <c r="B1013" s="4"/>
      <c r="C1013" s="6" t="s">
        <v>106</v>
      </c>
      <c r="D1013" s="7">
        <v>1</v>
      </c>
      <c r="E1013" s="8">
        <v>3.35</v>
      </c>
      <c r="F1013" s="8">
        <v>4.51</v>
      </c>
      <c r="G1013" s="8"/>
      <c r="H1013" s="9">
        <f t="shared" ref="H1013:H1014" si="99">PRODUCT(D1013:G1013)</f>
        <v>15.108499999999999</v>
      </c>
      <c r="I1013" s="10"/>
      <c r="J1013" s="18"/>
      <c r="K1013" s="19"/>
    </row>
    <row r="1014" spans="2:11">
      <c r="B1014" s="4"/>
      <c r="C1014" s="21"/>
      <c r="D1014" s="7">
        <v>1</v>
      </c>
      <c r="E1014" s="8">
        <v>3.35</v>
      </c>
      <c r="F1014" s="8">
        <v>2.5</v>
      </c>
      <c r="G1014" s="8"/>
      <c r="H1014" s="9">
        <f t="shared" si="99"/>
        <v>8.375</v>
      </c>
      <c r="I1014" s="10"/>
      <c r="J1014" s="18"/>
      <c r="K1014" s="19"/>
    </row>
    <row r="1015" spans="2:11">
      <c r="B1015" s="4"/>
      <c r="C1015" s="21"/>
      <c r="D1015" s="7"/>
      <c r="E1015" s="8"/>
      <c r="F1015" s="8"/>
      <c r="G1015" s="8"/>
      <c r="H1015" s="9"/>
      <c r="I1015" s="10"/>
      <c r="J1015" s="18"/>
      <c r="K1015" s="19"/>
    </row>
    <row r="1016" spans="2:11">
      <c r="B1016" s="4"/>
      <c r="C1016" s="6" t="s">
        <v>134</v>
      </c>
      <c r="D1016" s="7">
        <v>1</v>
      </c>
      <c r="E1016" s="8">
        <v>1.23</v>
      </c>
      <c r="F1016" s="8">
        <v>2.9</v>
      </c>
      <c r="G1016" s="8"/>
      <c r="H1016" s="9">
        <f t="shared" ref="H1016:H1017" si="100">PRODUCT(D1016:G1016)</f>
        <v>3.5669999999999997</v>
      </c>
      <c r="I1016" s="10"/>
      <c r="J1016" s="18"/>
      <c r="K1016" s="19"/>
    </row>
    <row r="1017" spans="2:11">
      <c r="B1017" s="4"/>
      <c r="C1017" s="21"/>
      <c r="D1017" s="7">
        <v>1</v>
      </c>
      <c r="E1017" s="8">
        <v>2.9</v>
      </c>
      <c r="F1017" s="8">
        <v>2.8</v>
      </c>
      <c r="G1017" s="8"/>
      <c r="H1017" s="9">
        <f t="shared" si="100"/>
        <v>8.1199999999999992</v>
      </c>
      <c r="I1017" s="10"/>
      <c r="J1017" s="18"/>
      <c r="K1017" s="19"/>
    </row>
    <row r="1018" spans="2:11">
      <c r="B1018" s="4"/>
      <c r="C1018" s="21"/>
      <c r="D1018" s="7"/>
      <c r="E1018" s="8"/>
      <c r="F1018" s="8"/>
      <c r="G1018" s="8"/>
      <c r="H1018" s="9"/>
      <c r="I1018" s="10"/>
      <c r="J1018" s="18"/>
      <c r="K1018" s="19"/>
    </row>
    <row r="1019" spans="2:11">
      <c r="B1019" s="4"/>
      <c r="C1019" s="21"/>
      <c r="D1019" s="7"/>
      <c r="E1019" s="8"/>
      <c r="F1019" s="8"/>
      <c r="G1019" s="8"/>
      <c r="H1019" s="9"/>
      <c r="I1019" s="10"/>
      <c r="J1019" s="18"/>
      <c r="K1019" s="19"/>
    </row>
    <row r="1020" spans="2:11">
      <c r="B1020" s="4"/>
      <c r="C1020" s="6" t="s">
        <v>110</v>
      </c>
      <c r="D1020" s="7">
        <v>1</v>
      </c>
      <c r="E1020" s="8">
        <v>1.9</v>
      </c>
      <c r="F1020" s="8">
        <v>2.8</v>
      </c>
      <c r="G1020" s="8"/>
      <c r="H1020" s="9">
        <f t="shared" ref="H1020" si="101">PRODUCT(D1020:G1020)</f>
        <v>5.3199999999999994</v>
      </c>
      <c r="I1020" s="10"/>
      <c r="J1020" s="18"/>
      <c r="K1020" s="19"/>
    </row>
    <row r="1021" spans="2:11">
      <c r="B1021" s="4"/>
      <c r="C1021" s="21"/>
      <c r="D1021" s="7"/>
      <c r="E1021" s="8"/>
      <c r="F1021" s="8"/>
      <c r="G1021" s="8"/>
      <c r="H1021" s="9"/>
      <c r="I1021" s="10"/>
      <c r="J1021" s="18"/>
      <c r="K1021" s="19"/>
    </row>
    <row r="1022" spans="2:11">
      <c r="B1022" s="4"/>
      <c r="C1022" s="6" t="s">
        <v>135</v>
      </c>
      <c r="D1022" s="7">
        <v>1</v>
      </c>
      <c r="E1022" s="8">
        <v>3.95</v>
      </c>
      <c r="F1022" s="8">
        <v>1.95</v>
      </c>
      <c r="G1022" s="8"/>
      <c r="H1022" s="9">
        <f t="shared" ref="H1022:H1024" si="102">PRODUCT(D1022:G1022)</f>
        <v>7.7025000000000006</v>
      </c>
      <c r="I1022" s="10"/>
      <c r="J1022" s="18"/>
      <c r="K1022" s="19"/>
    </row>
    <row r="1023" spans="2:11">
      <c r="B1023" s="4"/>
      <c r="C1023" s="6"/>
      <c r="D1023" s="7">
        <v>1</v>
      </c>
      <c r="E1023" s="8">
        <v>1.25</v>
      </c>
      <c r="F1023" s="8">
        <v>0.6</v>
      </c>
      <c r="G1023" s="8"/>
      <c r="H1023" s="9">
        <f t="shared" si="102"/>
        <v>0.75</v>
      </c>
      <c r="I1023" s="10"/>
      <c r="J1023" s="18"/>
      <c r="K1023" s="19"/>
    </row>
    <row r="1024" spans="2:11">
      <c r="B1024" s="4"/>
      <c r="C1024" s="6"/>
      <c r="D1024" s="7">
        <v>1</v>
      </c>
      <c r="E1024" s="8">
        <v>0.6</v>
      </c>
      <c r="F1024" s="8">
        <v>1.25</v>
      </c>
      <c r="G1024" s="8"/>
      <c r="H1024" s="9">
        <f t="shared" si="102"/>
        <v>0.75</v>
      </c>
      <c r="I1024" s="10"/>
      <c r="J1024" s="18"/>
      <c r="K1024" s="19"/>
    </row>
    <row r="1025" spans="2:11">
      <c r="B1025" s="4"/>
      <c r="C1025" s="21"/>
      <c r="D1025" s="7"/>
      <c r="E1025" s="8"/>
      <c r="F1025" s="8"/>
      <c r="G1025" s="8"/>
      <c r="H1025" s="9"/>
      <c r="I1025" s="10"/>
      <c r="J1025" s="18"/>
      <c r="K1025" s="19"/>
    </row>
    <row r="1026" spans="2:11">
      <c r="B1026" s="4"/>
      <c r="C1026" s="6" t="s">
        <v>513</v>
      </c>
      <c r="D1026" s="7">
        <v>1</v>
      </c>
      <c r="E1026" s="8">
        <v>2.8</v>
      </c>
      <c r="F1026" s="8">
        <v>2.2999999999999998</v>
      </c>
      <c r="G1026" s="8"/>
      <c r="H1026" s="9">
        <f t="shared" ref="H1026" si="103">PRODUCT(D1026:G1026)</f>
        <v>6.4399999999999995</v>
      </c>
      <c r="I1026" s="10"/>
      <c r="J1026" s="18"/>
      <c r="K1026" s="19"/>
    </row>
    <row r="1027" spans="2:11">
      <c r="B1027" s="4"/>
      <c r="C1027" s="21"/>
      <c r="D1027" s="7"/>
      <c r="E1027" s="8"/>
      <c r="F1027" s="8"/>
      <c r="G1027" s="8"/>
      <c r="H1027" s="9"/>
      <c r="I1027" s="10"/>
      <c r="J1027" s="18"/>
      <c r="K1027" s="19"/>
    </row>
    <row r="1028" spans="2:11">
      <c r="B1028" s="4"/>
      <c r="C1028" s="21" t="s">
        <v>514</v>
      </c>
      <c r="D1028" s="7">
        <v>1</v>
      </c>
      <c r="E1028" s="8">
        <v>1.61</v>
      </c>
      <c r="F1028" s="8">
        <v>2.9</v>
      </c>
      <c r="G1028" s="8"/>
      <c r="H1028" s="9">
        <f t="shared" ref="H1028" si="104">PRODUCT(D1028:G1028)</f>
        <v>4.6690000000000005</v>
      </c>
      <c r="I1028" s="10"/>
      <c r="J1028" s="18"/>
      <c r="K1028" s="19"/>
    </row>
    <row r="1029" spans="2:11">
      <c r="B1029" s="4"/>
      <c r="C1029" s="21"/>
      <c r="D1029" s="7"/>
      <c r="E1029" s="8"/>
      <c r="F1029" s="8"/>
      <c r="G1029" s="8"/>
      <c r="H1029" s="9"/>
      <c r="I1029" s="10"/>
      <c r="J1029" s="18"/>
      <c r="K1029" s="19"/>
    </row>
    <row r="1030" spans="2:11">
      <c r="B1030" s="4"/>
      <c r="C1030" s="6" t="s">
        <v>515</v>
      </c>
      <c r="D1030" s="7">
        <v>1</v>
      </c>
      <c r="E1030" s="8">
        <v>2.9</v>
      </c>
      <c r="F1030" s="8">
        <v>2.5</v>
      </c>
      <c r="G1030" s="8"/>
      <c r="H1030" s="9">
        <f t="shared" ref="H1030" si="105">PRODUCT(D1030:G1030)</f>
        <v>7.25</v>
      </c>
      <c r="I1030" s="10"/>
      <c r="J1030" s="18"/>
      <c r="K1030" s="19"/>
    </row>
    <row r="1031" spans="2:11">
      <c r="B1031" s="4"/>
      <c r="C1031" s="6"/>
      <c r="D1031" s="7"/>
      <c r="E1031" s="8"/>
      <c r="F1031" s="8"/>
      <c r="G1031" s="8"/>
      <c r="H1031" s="9"/>
      <c r="I1031" s="10"/>
      <c r="J1031" s="18"/>
      <c r="K1031" s="19"/>
    </row>
    <row r="1032" spans="2:11">
      <c r="B1032" s="4"/>
      <c r="C1032" s="21"/>
      <c r="D1032" s="7"/>
      <c r="E1032" s="8"/>
      <c r="F1032" s="8"/>
      <c r="G1032" s="8"/>
      <c r="H1032" s="9"/>
      <c r="I1032" s="10"/>
      <c r="J1032" s="18"/>
      <c r="K1032" s="19"/>
    </row>
    <row r="1033" spans="2:11">
      <c r="B1033" s="4"/>
      <c r="C1033" s="6" t="s">
        <v>516</v>
      </c>
      <c r="D1033" s="7">
        <v>2</v>
      </c>
      <c r="E1033" s="8">
        <v>1.2</v>
      </c>
      <c r="F1033" s="8">
        <v>1.2</v>
      </c>
      <c r="G1033" s="8"/>
      <c r="H1033" s="9">
        <f t="shared" ref="H1033" si="106">PRODUCT(D1033:G1033)</f>
        <v>2.88</v>
      </c>
      <c r="I1033" s="10"/>
      <c r="J1033" s="18"/>
      <c r="K1033" s="19"/>
    </row>
    <row r="1034" spans="2:11">
      <c r="B1034" s="4"/>
      <c r="C1034" s="21"/>
      <c r="D1034" s="7"/>
      <c r="E1034" s="8"/>
      <c r="F1034" s="8"/>
      <c r="G1034" s="8"/>
      <c r="H1034" s="9"/>
      <c r="I1034" s="10"/>
      <c r="J1034" s="18"/>
      <c r="K1034" s="19"/>
    </row>
    <row r="1035" spans="2:11">
      <c r="B1035" s="4"/>
      <c r="C1035" s="21"/>
      <c r="D1035" s="7"/>
      <c r="E1035" s="8"/>
      <c r="F1035" s="8"/>
      <c r="G1035" s="8"/>
      <c r="H1035" s="9"/>
      <c r="I1035" s="10"/>
      <c r="J1035" s="18"/>
      <c r="K1035" s="19"/>
    </row>
    <row r="1036" spans="2:11">
      <c r="B1036" s="4"/>
      <c r="C1036" s="21"/>
      <c r="D1036" s="7"/>
      <c r="E1036" s="8"/>
      <c r="F1036" s="8"/>
      <c r="G1036" s="8"/>
      <c r="H1036" s="9"/>
      <c r="I1036" s="10"/>
      <c r="J1036" s="18"/>
      <c r="K1036" s="19"/>
    </row>
    <row r="1037" spans="2:11">
      <c r="B1037" s="4"/>
      <c r="C1037" s="21"/>
      <c r="D1037" s="7"/>
      <c r="E1037" s="8"/>
      <c r="F1037" s="8"/>
      <c r="G1037" s="8"/>
      <c r="H1037" s="9"/>
      <c r="I1037" s="10"/>
      <c r="J1037" s="18"/>
      <c r="K1037" s="19"/>
    </row>
    <row r="1038" spans="2:11">
      <c r="B1038" s="4"/>
      <c r="C1038" s="191" t="s">
        <v>31</v>
      </c>
      <c r="D1038" s="191"/>
      <c r="E1038" s="191"/>
      <c r="F1038" s="191"/>
      <c r="G1038" s="191"/>
      <c r="H1038" s="192"/>
      <c r="I1038" s="12">
        <f>SUM(H1039:H1063)</f>
        <v>1060.7026499999999</v>
      </c>
      <c r="J1038" s="18" t="s">
        <v>30</v>
      </c>
      <c r="K1038" s="19"/>
    </row>
    <row r="1039" spans="2:11">
      <c r="B1039" s="4"/>
      <c r="C1039" s="6" t="s">
        <v>512</v>
      </c>
      <c r="D1039" s="7">
        <v>1</v>
      </c>
      <c r="E1039" s="8">
        <v>4.1500000000000004</v>
      </c>
      <c r="F1039" s="8">
        <v>4.4000000000000004</v>
      </c>
      <c r="G1039" s="8">
        <v>8.3000000000000007</v>
      </c>
      <c r="H1039" s="9">
        <f t="shared" ref="H1039:H1061" si="107">PRODUCT(D1039:G1039)</f>
        <v>151.55800000000002</v>
      </c>
      <c r="I1039" s="10"/>
      <c r="J1039" s="18"/>
      <c r="K1039" s="19"/>
    </row>
    <row r="1040" spans="2:11">
      <c r="B1040" s="4"/>
      <c r="C1040" s="6"/>
      <c r="D1040" s="7">
        <v>1</v>
      </c>
      <c r="E1040" s="8">
        <v>4.05</v>
      </c>
      <c r="F1040" s="8">
        <v>4.47</v>
      </c>
      <c r="G1040" s="8">
        <v>8.3000000000000007</v>
      </c>
      <c r="H1040" s="9">
        <f t="shared" si="107"/>
        <v>150.25904999999997</v>
      </c>
      <c r="I1040" s="10"/>
      <c r="J1040" s="18"/>
      <c r="K1040" s="19"/>
    </row>
    <row r="1041" spans="2:11">
      <c r="B1041" s="4"/>
      <c r="C1041" s="6"/>
      <c r="D1041" s="7">
        <v>1</v>
      </c>
      <c r="E1041" s="8">
        <v>4.1500000000000004</v>
      </c>
      <c r="F1041" s="8">
        <v>2.5</v>
      </c>
      <c r="G1041" s="8">
        <v>8.3000000000000007</v>
      </c>
      <c r="H1041" s="9">
        <f t="shared" si="107"/>
        <v>86.112500000000011</v>
      </c>
      <c r="I1041" s="10"/>
      <c r="J1041" s="18"/>
      <c r="K1041" s="19"/>
    </row>
    <row r="1042" spans="2:11">
      <c r="B1042" s="4"/>
      <c r="C1042" s="6"/>
      <c r="D1042" s="7">
        <v>1</v>
      </c>
      <c r="E1042" s="8">
        <v>4.05</v>
      </c>
      <c r="F1042" s="8">
        <v>2.5</v>
      </c>
      <c r="G1042" s="8">
        <v>8.3000000000000007</v>
      </c>
      <c r="H1042" s="9">
        <f t="shared" si="107"/>
        <v>84.037500000000009</v>
      </c>
      <c r="I1042" s="10"/>
      <c r="J1042" s="18"/>
      <c r="K1042" s="19"/>
    </row>
    <row r="1043" spans="2:11">
      <c r="B1043" s="4"/>
      <c r="C1043" s="6"/>
      <c r="D1043" s="7"/>
      <c r="E1043" s="8"/>
      <c r="F1043" s="8"/>
      <c r="G1043" s="8"/>
      <c r="H1043" s="9"/>
      <c r="I1043" s="10"/>
      <c r="J1043" s="18"/>
      <c r="K1043" s="19"/>
    </row>
    <row r="1044" spans="2:11">
      <c r="B1044" s="4"/>
      <c r="C1044" s="6" t="s">
        <v>106</v>
      </c>
      <c r="D1044" s="7">
        <v>1</v>
      </c>
      <c r="E1044" s="8">
        <v>3.35</v>
      </c>
      <c r="F1044" s="8">
        <v>4.51</v>
      </c>
      <c r="G1044" s="8">
        <v>8.3000000000000007</v>
      </c>
      <c r="H1044" s="9">
        <f t="shared" si="107"/>
        <v>125.40055000000001</v>
      </c>
      <c r="I1044" s="10"/>
      <c r="J1044" s="18"/>
      <c r="K1044" s="19"/>
    </row>
    <row r="1045" spans="2:11">
      <c r="B1045" s="4"/>
      <c r="C1045" s="21"/>
      <c r="D1045" s="7">
        <v>1</v>
      </c>
      <c r="E1045" s="8">
        <v>3.35</v>
      </c>
      <c r="F1045" s="8">
        <v>2.5</v>
      </c>
      <c r="G1045" s="8">
        <v>8.3000000000000007</v>
      </c>
      <c r="H1045" s="9">
        <f t="shared" si="107"/>
        <v>69.512500000000003</v>
      </c>
      <c r="I1045" s="10"/>
      <c r="J1045" s="18"/>
      <c r="K1045" s="19"/>
    </row>
    <row r="1046" spans="2:11">
      <c r="B1046" s="4"/>
      <c r="C1046" s="21"/>
      <c r="D1046" s="7"/>
      <c r="E1046" s="8"/>
      <c r="F1046" s="8"/>
      <c r="G1046" s="8"/>
      <c r="H1046" s="9"/>
      <c r="I1046" s="10"/>
      <c r="J1046" s="18"/>
      <c r="K1046" s="19"/>
    </row>
    <row r="1047" spans="2:11">
      <c r="B1047" s="4"/>
      <c r="C1047" s="6" t="s">
        <v>134</v>
      </c>
      <c r="D1047" s="7">
        <v>1</v>
      </c>
      <c r="E1047" s="8">
        <v>1.23</v>
      </c>
      <c r="F1047" s="8">
        <v>2.9</v>
      </c>
      <c r="G1047" s="8">
        <v>8.3000000000000007</v>
      </c>
      <c r="H1047" s="9">
        <f t="shared" si="107"/>
        <v>29.606100000000001</v>
      </c>
      <c r="I1047" s="10"/>
      <c r="J1047" s="18"/>
      <c r="K1047" s="19"/>
    </row>
    <row r="1048" spans="2:11">
      <c r="B1048" s="4"/>
      <c r="C1048" s="21"/>
      <c r="D1048" s="7">
        <v>1</v>
      </c>
      <c r="E1048" s="8">
        <v>2.9</v>
      </c>
      <c r="F1048" s="8">
        <v>2.8</v>
      </c>
      <c r="G1048" s="8">
        <v>8.3000000000000007</v>
      </c>
      <c r="H1048" s="9">
        <f t="shared" si="107"/>
        <v>67.396000000000001</v>
      </c>
      <c r="I1048" s="10"/>
      <c r="J1048" s="18"/>
      <c r="K1048" s="19"/>
    </row>
    <row r="1049" spans="2:11">
      <c r="B1049" s="4"/>
      <c r="C1049" s="21"/>
      <c r="D1049" s="7"/>
      <c r="E1049" s="8"/>
      <c r="F1049" s="8"/>
      <c r="G1049" s="8"/>
      <c r="H1049" s="9"/>
      <c r="I1049" s="10"/>
      <c r="J1049" s="18"/>
      <c r="K1049" s="19"/>
    </row>
    <row r="1050" spans="2:11">
      <c r="B1050" s="4"/>
      <c r="C1050" s="21"/>
      <c r="D1050" s="7"/>
      <c r="E1050" s="8"/>
      <c r="F1050" s="8"/>
      <c r="G1050" s="8"/>
      <c r="H1050" s="9"/>
      <c r="I1050" s="10"/>
      <c r="J1050" s="18"/>
      <c r="K1050" s="19"/>
    </row>
    <row r="1051" spans="2:11">
      <c r="B1051" s="4"/>
      <c r="C1051" s="6" t="s">
        <v>110</v>
      </c>
      <c r="D1051" s="7">
        <v>1</v>
      </c>
      <c r="E1051" s="8">
        <v>1.9</v>
      </c>
      <c r="F1051" s="8">
        <v>2.8</v>
      </c>
      <c r="G1051" s="8">
        <v>8.3000000000000007</v>
      </c>
      <c r="H1051" s="9">
        <f t="shared" si="107"/>
        <v>44.155999999999999</v>
      </c>
      <c r="I1051" s="10"/>
      <c r="J1051" s="18"/>
      <c r="K1051" s="19"/>
    </row>
    <row r="1052" spans="2:11">
      <c r="B1052" s="4"/>
      <c r="C1052" s="21"/>
      <c r="D1052" s="7"/>
      <c r="E1052" s="8"/>
      <c r="F1052" s="8"/>
      <c r="G1052" s="8"/>
      <c r="H1052" s="9"/>
      <c r="I1052" s="10"/>
      <c r="J1052" s="18"/>
      <c r="K1052" s="19"/>
    </row>
    <row r="1053" spans="2:11">
      <c r="B1053" s="4"/>
      <c r="C1053" s="6" t="s">
        <v>135</v>
      </c>
      <c r="D1053" s="7">
        <v>1</v>
      </c>
      <c r="E1053" s="8">
        <v>3.95</v>
      </c>
      <c r="F1053" s="8">
        <v>1.95</v>
      </c>
      <c r="G1053" s="8">
        <v>8.3000000000000007</v>
      </c>
      <c r="H1053" s="9">
        <f t="shared" si="107"/>
        <v>63.93075000000001</v>
      </c>
      <c r="I1053" s="10"/>
      <c r="J1053" s="18"/>
      <c r="K1053" s="19"/>
    </row>
    <row r="1054" spans="2:11">
      <c r="B1054" s="4"/>
      <c r="C1054" s="6"/>
      <c r="D1054" s="7">
        <v>1</v>
      </c>
      <c r="E1054" s="8">
        <v>1.25</v>
      </c>
      <c r="F1054" s="8">
        <v>0.6</v>
      </c>
      <c r="G1054" s="8">
        <v>8.3000000000000007</v>
      </c>
      <c r="H1054" s="9">
        <f t="shared" si="107"/>
        <v>6.2250000000000005</v>
      </c>
      <c r="I1054" s="10"/>
      <c r="J1054" s="18"/>
      <c r="K1054" s="19"/>
    </row>
    <row r="1055" spans="2:11">
      <c r="B1055" s="4"/>
      <c r="C1055" s="6"/>
      <c r="D1055" s="7">
        <v>1</v>
      </c>
      <c r="E1055" s="8">
        <v>0.6</v>
      </c>
      <c r="F1055" s="8">
        <v>1.25</v>
      </c>
      <c r="G1055" s="8">
        <v>8.3000000000000007</v>
      </c>
      <c r="H1055" s="9">
        <f t="shared" si="107"/>
        <v>6.2250000000000005</v>
      </c>
      <c r="I1055" s="10"/>
      <c r="J1055" s="18"/>
      <c r="K1055" s="19"/>
    </row>
    <row r="1056" spans="2:11">
      <c r="B1056" s="4"/>
      <c r="C1056" s="21"/>
      <c r="D1056" s="7"/>
      <c r="E1056" s="8"/>
      <c r="F1056" s="8"/>
      <c r="G1056" s="8"/>
      <c r="H1056" s="9"/>
      <c r="I1056" s="10"/>
      <c r="J1056" s="18"/>
      <c r="K1056" s="19"/>
    </row>
    <row r="1057" spans="2:11">
      <c r="B1057" s="4"/>
      <c r="C1057" s="6" t="s">
        <v>513</v>
      </c>
      <c r="D1057" s="7">
        <v>1</v>
      </c>
      <c r="E1057" s="8">
        <v>2.8</v>
      </c>
      <c r="F1057" s="8">
        <v>2.2999999999999998</v>
      </c>
      <c r="G1057" s="8">
        <v>8.3000000000000007</v>
      </c>
      <c r="H1057" s="9">
        <f t="shared" si="107"/>
        <v>53.451999999999998</v>
      </c>
      <c r="I1057" s="10"/>
      <c r="J1057" s="18"/>
      <c r="K1057" s="19"/>
    </row>
    <row r="1058" spans="2:11">
      <c r="B1058" s="4"/>
      <c r="C1058" s="21"/>
      <c r="D1058" s="7"/>
      <c r="E1058" s="8"/>
      <c r="F1058" s="8"/>
      <c r="G1058" s="8"/>
      <c r="H1058" s="9"/>
      <c r="I1058" s="10"/>
      <c r="J1058" s="18"/>
      <c r="K1058" s="19"/>
    </row>
    <row r="1059" spans="2:11">
      <c r="B1059" s="4"/>
      <c r="C1059" s="21" t="s">
        <v>514</v>
      </c>
      <c r="D1059" s="7">
        <v>1</v>
      </c>
      <c r="E1059" s="8">
        <v>1.61</v>
      </c>
      <c r="F1059" s="8">
        <v>2.9</v>
      </c>
      <c r="G1059" s="8">
        <v>8.3000000000000007</v>
      </c>
      <c r="H1059" s="9">
        <f t="shared" si="107"/>
        <v>38.752700000000004</v>
      </c>
      <c r="I1059" s="10"/>
      <c r="J1059" s="18"/>
      <c r="K1059" s="19"/>
    </row>
    <row r="1060" spans="2:11">
      <c r="B1060" s="4"/>
      <c r="C1060" s="21"/>
      <c r="D1060" s="7"/>
      <c r="E1060" s="8"/>
      <c r="F1060" s="8"/>
      <c r="G1060" s="8"/>
      <c r="H1060" s="9"/>
      <c r="I1060" s="10"/>
      <c r="J1060" s="18"/>
      <c r="K1060" s="19"/>
    </row>
    <row r="1061" spans="2:11">
      <c r="B1061" s="4"/>
      <c r="C1061" s="6" t="s">
        <v>515</v>
      </c>
      <c r="D1061" s="7">
        <v>1</v>
      </c>
      <c r="E1061" s="8">
        <v>2.9</v>
      </c>
      <c r="F1061" s="8">
        <v>2.5</v>
      </c>
      <c r="G1061" s="8">
        <v>8.3000000000000007</v>
      </c>
      <c r="H1061" s="9">
        <f t="shared" si="107"/>
        <v>60.175000000000004</v>
      </c>
      <c r="I1061" s="10"/>
      <c r="J1061" s="18"/>
      <c r="K1061" s="19"/>
    </row>
    <row r="1062" spans="2:11">
      <c r="B1062" s="4"/>
      <c r="C1062" s="6"/>
      <c r="D1062" s="7"/>
      <c r="E1062" s="8"/>
      <c r="F1062" s="8"/>
      <c r="G1062" s="8"/>
      <c r="H1062" s="9"/>
      <c r="I1062" s="10"/>
      <c r="J1062" s="18"/>
      <c r="K1062" s="19"/>
    </row>
    <row r="1063" spans="2:11">
      <c r="B1063" s="4"/>
      <c r="C1063" s="6" t="s">
        <v>516</v>
      </c>
      <c r="D1063" s="7">
        <v>2</v>
      </c>
      <c r="E1063" s="8">
        <v>1.2</v>
      </c>
      <c r="F1063" s="8">
        <v>1.2</v>
      </c>
      <c r="G1063" s="8">
        <v>8.3000000000000007</v>
      </c>
      <c r="H1063" s="9">
        <f t="shared" ref="H1063" si="108">PRODUCT(D1063:G1063)</f>
        <v>23.904</v>
      </c>
      <c r="I1063" s="10"/>
      <c r="J1063" s="18"/>
      <c r="K1063" s="19"/>
    </row>
    <row r="1064" spans="2:11">
      <c r="B1064" s="4">
        <v>17</v>
      </c>
      <c r="C1064" s="194" t="s">
        <v>519</v>
      </c>
      <c r="D1064" s="195"/>
      <c r="E1064" s="195"/>
      <c r="F1064" s="195"/>
      <c r="G1064" s="195"/>
      <c r="H1064" s="195"/>
      <c r="I1064" s="5"/>
      <c r="J1064" s="5"/>
      <c r="K1064" s="5"/>
    </row>
    <row r="1065" spans="2:11">
      <c r="B1065" s="4"/>
      <c r="C1065" s="191" t="s">
        <v>22</v>
      </c>
      <c r="D1065" s="191"/>
      <c r="E1065" s="191"/>
      <c r="F1065" s="191"/>
      <c r="G1065" s="191"/>
      <c r="H1065" s="192"/>
      <c r="I1065" s="11">
        <f>SUM(H1066:H1071)</f>
        <v>0.70455000000000001</v>
      </c>
      <c r="J1065" s="18" t="s">
        <v>21</v>
      </c>
      <c r="K1065" s="19"/>
    </row>
    <row r="1066" spans="2:11">
      <c r="B1066" s="4"/>
      <c r="C1066" s="6" t="s">
        <v>520</v>
      </c>
      <c r="D1066" s="7">
        <v>2</v>
      </c>
      <c r="E1066" s="8">
        <v>1.2</v>
      </c>
      <c r="F1066" s="8">
        <v>0.79</v>
      </c>
      <c r="G1066" s="8">
        <v>0.15</v>
      </c>
      <c r="H1066" s="9">
        <f t="shared" ref="H1066:H1067" si="109">PRODUCT(D1066:G1066)</f>
        <v>0.28439999999999999</v>
      </c>
      <c r="I1066" s="10"/>
      <c r="J1066" s="18"/>
      <c r="K1066" s="19"/>
    </row>
    <row r="1067" spans="2:11">
      <c r="B1067" s="4"/>
      <c r="C1067" s="21"/>
      <c r="D1067" s="7">
        <v>2</v>
      </c>
      <c r="E1067" s="8">
        <v>1.2</v>
      </c>
      <c r="F1067" s="8">
        <v>0.89</v>
      </c>
      <c r="G1067" s="8">
        <v>0.15</v>
      </c>
      <c r="H1067" s="9">
        <f t="shared" si="109"/>
        <v>0.32040000000000002</v>
      </c>
      <c r="I1067" s="10"/>
      <c r="J1067" s="18"/>
      <c r="K1067" s="19"/>
    </row>
    <row r="1068" spans="2:11">
      <c r="B1068" s="4"/>
      <c r="C1068" s="21"/>
      <c r="D1068" s="7"/>
      <c r="E1068" s="8"/>
      <c r="F1068" s="8"/>
      <c r="G1068" s="8"/>
      <c r="H1068" s="9"/>
      <c r="I1068" s="10"/>
      <c r="J1068" s="18"/>
      <c r="K1068" s="19"/>
    </row>
    <row r="1069" spans="2:11">
      <c r="B1069" s="4"/>
      <c r="C1069" s="21" t="s">
        <v>521</v>
      </c>
      <c r="D1069" s="7">
        <v>1</v>
      </c>
      <c r="E1069" s="8">
        <v>0.95</v>
      </c>
      <c r="F1069" s="8">
        <v>0.7</v>
      </c>
      <c r="G1069" s="8">
        <v>0.15</v>
      </c>
      <c r="H1069" s="9">
        <f t="shared" ref="H1069" si="110">PRODUCT(D1069:G1069)</f>
        <v>9.9749999999999991E-2</v>
      </c>
      <c r="I1069" s="10"/>
      <c r="J1069" s="18"/>
      <c r="K1069" s="19"/>
    </row>
    <row r="1070" spans="2:11">
      <c r="B1070" s="4"/>
      <c r="C1070" s="21"/>
      <c r="D1070" s="7"/>
      <c r="E1070" s="8"/>
      <c r="F1070" s="8"/>
      <c r="G1070" s="8"/>
      <c r="H1070" s="9"/>
      <c r="I1070" s="10"/>
      <c r="J1070" s="18"/>
      <c r="K1070" s="19"/>
    </row>
    <row r="1071" spans="2:11">
      <c r="B1071" s="4"/>
      <c r="C1071" s="21"/>
      <c r="D1071" s="7"/>
      <c r="E1071" s="8"/>
      <c r="F1071" s="8"/>
      <c r="G1071" s="8"/>
      <c r="H1071" s="9"/>
      <c r="I1071" s="10"/>
      <c r="J1071" s="18"/>
      <c r="K1071" s="19"/>
    </row>
    <row r="1072" spans="2:11">
      <c r="B1072" s="4"/>
      <c r="C1072" s="191" t="s">
        <v>23</v>
      </c>
      <c r="D1072" s="191"/>
      <c r="E1072" s="191"/>
      <c r="F1072" s="191"/>
      <c r="G1072" s="191"/>
      <c r="H1072" s="192"/>
      <c r="I1072" s="11">
        <f>SUM(H1073:H1078)</f>
        <v>31.584000000000003</v>
      </c>
      <c r="J1072" s="18" t="s">
        <v>24</v>
      </c>
      <c r="K1072" s="19"/>
    </row>
    <row r="1073" spans="2:11">
      <c r="B1073" s="4"/>
      <c r="C1073" s="6" t="s">
        <v>520</v>
      </c>
      <c r="D1073" s="7">
        <v>2</v>
      </c>
      <c r="E1073" s="8">
        <v>4</v>
      </c>
      <c r="F1073" s="8">
        <f>1.71+1.71</f>
        <v>3.42</v>
      </c>
      <c r="G1073" s="8">
        <v>0.56000000000000005</v>
      </c>
      <c r="H1073" s="9">
        <f t="shared" ref="H1073:H1077" si="111">PRODUCT(E1073:G1073)</f>
        <v>7.6608000000000009</v>
      </c>
      <c r="I1073" s="7" t="s">
        <v>26</v>
      </c>
      <c r="J1073" s="18"/>
      <c r="K1073" s="19"/>
    </row>
    <row r="1074" spans="2:11">
      <c r="B1074" s="4"/>
      <c r="C1074" s="6"/>
      <c r="D1074" s="7">
        <v>2</v>
      </c>
      <c r="E1074" s="8">
        <v>5</v>
      </c>
      <c r="F1074" s="8">
        <f>1.75+1.75</f>
        <v>3.5</v>
      </c>
      <c r="G1074" s="8">
        <v>0.56000000000000005</v>
      </c>
      <c r="H1074" s="9">
        <f t="shared" si="111"/>
        <v>9.8000000000000007</v>
      </c>
      <c r="I1074" s="7" t="s">
        <v>26</v>
      </c>
      <c r="J1074" s="18"/>
      <c r="K1074" s="19"/>
    </row>
    <row r="1075" spans="2:11">
      <c r="B1075" s="4"/>
      <c r="C1075" s="21"/>
      <c r="D1075" s="7">
        <v>2</v>
      </c>
      <c r="E1075" s="8">
        <v>6</v>
      </c>
      <c r="F1075" s="8">
        <f>1.33+1.35</f>
        <v>2.68</v>
      </c>
      <c r="G1075" s="8">
        <v>0.56000000000000005</v>
      </c>
      <c r="H1075" s="9">
        <f t="shared" si="111"/>
        <v>9.0048000000000012</v>
      </c>
      <c r="I1075" s="7" t="s">
        <v>26</v>
      </c>
      <c r="J1075" s="18"/>
      <c r="K1075" s="19"/>
    </row>
    <row r="1076" spans="2:11">
      <c r="B1076" s="4"/>
      <c r="C1076" s="21" t="s">
        <v>521</v>
      </c>
      <c r="D1076" s="7">
        <v>2</v>
      </c>
      <c r="E1076" s="8">
        <v>5</v>
      </c>
      <c r="F1076" s="8">
        <f>0.6+0.15+0.15</f>
        <v>0.9</v>
      </c>
      <c r="G1076" s="8">
        <v>0.56000000000000005</v>
      </c>
      <c r="H1076" s="9">
        <f t="shared" si="111"/>
        <v>2.5200000000000005</v>
      </c>
      <c r="I1076" s="7" t="s">
        <v>26</v>
      </c>
      <c r="J1076" s="18"/>
      <c r="K1076" s="19"/>
    </row>
    <row r="1077" spans="2:11">
      <c r="B1077" s="4"/>
      <c r="C1077" s="21"/>
      <c r="D1077" s="7">
        <v>2</v>
      </c>
      <c r="E1077" s="8">
        <v>4</v>
      </c>
      <c r="F1077" s="8">
        <f>0.86+0.15+0.15</f>
        <v>1.1599999999999999</v>
      </c>
      <c r="G1077" s="8">
        <v>0.56000000000000005</v>
      </c>
      <c r="H1077" s="9">
        <f t="shared" si="111"/>
        <v>2.5984000000000003</v>
      </c>
      <c r="I1077" s="7" t="s">
        <v>26</v>
      </c>
      <c r="J1077" s="18"/>
      <c r="K1077" s="19"/>
    </row>
    <row r="1078" spans="2:11">
      <c r="B1078" s="4"/>
      <c r="C1078" s="21"/>
      <c r="D1078" s="7"/>
      <c r="E1078" s="8"/>
      <c r="F1078" s="8"/>
      <c r="G1078" s="8"/>
      <c r="H1078" s="9"/>
      <c r="I1078" s="7"/>
      <c r="J1078" s="18"/>
      <c r="K1078" s="19"/>
    </row>
    <row r="1079" spans="2:11">
      <c r="B1079" s="4"/>
      <c r="C1079" s="191" t="s">
        <v>27</v>
      </c>
      <c r="D1079" s="191"/>
      <c r="E1079" s="191"/>
      <c r="F1079" s="191"/>
      <c r="G1079" s="191"/>
      <c r="H1079" s="192"/>
      <c r="I1079" s="11">
        <f>SUM(H1080:H1085)</f>
        <v>4.6970000000000001</v>
      </c>
      <c r="J1079" s="18" t="s">
        <v>19</v>
      </c>
      <c r="K1079" s="19"/>
    </row>
    <row r="1080" spans="2:11">
      <c r="B1080" s="4"/>
      <c r="C1080" s="6" t="s">
        <v>520</v>
      </c>
      <c r="D1080" s="7">
        <v>2</v>
      </c>
      <c r="E1080" s="8">
        <v>1.2</v>
      </c>
      <c r="F1080" s="8">
        <v>0.79</v>
      </c>
      <c r="G1080" s="8"/>
      <c r="H1080" s="9">
        <f t="shared" ref="H1080:H1081" si="112">PRODUCT(D1080:G1080)</f>
        <v>1.8959999999999999</v>
      </c>
      <c r="I1080" s="10"/>
      <c r="J1080" s="18"/>
      <c r="K1080" s="19"/>
    </row>
    <row r="1081" spans="2:11">
      <c r="B1081" s="4"/>
      <c r="C1081" s="21"/>
      <c r="D1081" s="7">
        <v>2</v>
      </c>
      <c r="E1081" s="8">
        <v>1.2</v>
      </c>
      <c r="F1081" s="8">
        <v>0.89</v>
      </c>
      <c r="G1081" s="8"/>
      <c r="H1081" s="9">
        <f t="shared" si="112"/>
        <v>2.1360000000000001</v>
      </c>
      <c r="I1081" s="10"/>
      <c r="J1081" s="18"/>
      <c r="K1081" s="19"/>
    </row>
    <row r="1082" spans="2:11">
      <c r="B1082" s="4"/>
      <c r="C1082" s="21"/>
      <c r="D1082" s="7"/>
      <c r="E1082" s="8"/>
      <c r="F1082" s="8"/>
      <c r="G1082" s="8"/>
      <c r="H1082" s="9"/>
      <c r="I1082" s="10"/>
      <c r="J1082" s="18"/>
      <c r="K1082" s="19"/>
    </row>
    <row r="1083" spans="2:11">
      <c r="B1083" s="4"/>
      <c r="C1083" s="21" t="s">
        <v>521</v>
      </c>
      <c r="D1083" s="7">
        <v>1</v>
      </c>
      <c r="E1083" s="8">
        <v>0.95</v>
      </c>
      <c r="F1083" s="8">
        <v>0.7</v>
      </c>
      <c r="G1083" s="8"/>
      <c r="H1083" s="9">
        <f t="shared" ref="H1083" si="113">PRODUCT(D1083:G1083)</f>
        <v>0.66499999999999992</v>
      </c>
      <c r="I1083" s="10"/>
      <c r="J1083" s="18"/>
      <c r="K1083" s="19"/>
    </row>
    <row r="1084" spans="2:11">
      <c r="B1084" s="4"/>
      <c r="C1084" s="6"/>
      <c r="D1084" s="7"/>
      <c r="E1084" s="8"/>
      <c r="F1084" s="8"/>
      <c r="G1084" s="8"/>
      <c r="H1084" s="9"/>
      <c r="I1084" s="10"/>
      <c r="J1084" s="18"/>
      <c r="K1084" s="19"/>
    </row>
    <row r="1085" spans="2:11">
      <c r="B1085" s="4"/>
      <c r="C1085" s="6"/>
      <c r="D1085" s="7"/>
      <c r="E1085" s="8"/>
      <c r="F1085" s="8"/>
      <c r="G1085" s="8"/>
      <c r="H1085" s="9"/>
      <c r="I1085" s="10"/>
      <c r="J1085" s="18"/>
      <c r="K1085" s="19"/>
    </row>
    <row r="1086" spans="2:11">
      <c r="B1086" s="4">
        <v>18</v>
      </c>
      <c r="C1086" s="194" t="s">
        <v>7</v>
      </c>
      <c r="D1086" s="195"/>
      <c r="E1086" s="195"/>
      <c r="F1086" s="195"/>
      <c r="G1086" s="195"/>
      <c r="H1086" s="195"/>
      <c r="I1086" s="5"/>
      <c r="J1086" s="5"/>
      <c r="K1086" s="5"/>
    </row>
    <row r="1087" spans="2:11">
      <c r="B1087" s="4"/>
      <c r="C1087" s="191" t="s">
        <v>22</v>
      </c>
      <c r="D1087" s="191"/>
      <c r="E1087" s="191"/>
      <c r="F1087" s="191"/>
      <c r="G1087" s="191"/>
      <c r="H1087" s="192"/>
      <c r="I1087" s="11">
        <f>SUM(H1088:H1101)</f>
        <v>4.2370950000000001</v>
      </c>
      <c r="J1087" s="18" t="s">
        <v>21</v>
      </c>
      <c r="K1087" s="19"/>
    </row>
    <row r="1088" spans="2:11">
      <c r="B1088" s="4"/>
      <c r="C1088" s="6"/>
      <c r="D1088" s="7"/>
      <c r="E1088" s="8"/>
      <c r="F1088" s="8"/>
      <c r="G1088" s="8"/>
      <c r="H1088" s="9"/>
      <c r="I1088" s="10"/>
      <c r="J1088" s="18"/>
      <c r="K1088" s="19"/>
    </row>
    <row r="1089" spans="2:11">
      <c r="B1089" s="4"/>
      <c r="C1089" s="6" t="s">
        <v>47</v>
      </c>
      <c r="D1089" s="7">
        <v>1</v>
      </c>
      <c r="E1089" s="8">
        <v>2.95</v>
      </c>
      <c r="F1089" s="8">
        <v>1.4</v>
      </c>
      <c r="G1089" s="8">
        <v>0.3</v>
      </c>
      <c r="H1089" s="9">
        <f t="shared" ref="H1089:H1092" si="114">PRODUCT(D1089:G1089)</f>
        <v>1.2389999999999999</v>
      </c>
      <c r="I1089" s="10"/>
      <c r="J1089" s="18"/>
      <c r="K1089" s="19"/>
    </row>
    <row r="1090" spans="2:11">
      <c r="B1090" s="4"/>
      <c r="C1090" s="6"/>
      <c r="D1090" s="7">
        <v>2</v>
      </c>
      <c r="E1090" s="8">
        <v>0.25</v>
      </c>
      <c r="F1090" s="8">
        <v>1.4</v>
      </c>
      <c r="G1090" s="8">
        <v>0.15</v>
      </c>
      <c r="H1090" s="9">
        <f t="shared" si="114"/>
        <v>0.105</v>
      </c>
      <c r="I1090" s="10"/>
      <c r="J1090" s="18"/>
      <c r="K1090" s="19"/>
    </row>
    <row r="1091" spans="2:11">
      <c r="B1091" s="4"/>
      <c r="C1091" s="6"/>
      <c r="D1091" s="7">
        <v>2</v>
      </c>
      <c r="E1091" s="8">
        <v>0.25</v>
      </c>
      <c r="F1091" s="8">
        <v>2.4500000000000002</v>
      </c>
      <c r="G1091" s="8">
        <v>0.15</v>
      </c>
      <c r="H1091" s="9">
        <f t="shared" si="114"/>
        <v>0.18375</v>
      </c>
      <c r="I1091" s="10"/>
      <c r="J1091" s="18"/>
      <c r="K1091" s="19"/>
    </row>
    <row r="1092" spans="2:11" ht="13.5" customHeight="1">
      <c r="B1092" s="4"/>
      <c r="C1092" s="6" t="s">
        <v>522</v>
      </c>
      <c r="D1092" s="7">
        <v>1</v>
      </c>
      <c r="E1092" s="8">
        <f>+E68+4.4</f>
        <v>13.34</v>
      </c>
      <c r="F1092" s="8">
        <v>0.96</v>
      </c>
      <c r="G1092" s="8">
        <v>0.05</v>
      </c>
      <c r="H1092" s="9">
        <f t="shared" si="114"/>
        <v>0.64032</v>
      </c>
      <c r="I1092" s="10"/>
      <c r="J1092" s="18"/>
      <c r="K1092" s="19"/>
    </row>
    <row r="1093" spans="2:11" ht="13.5" customHeight="1">
      <c r="B1093" s="4"/>
      <c r="C1093" s="6"/>
      <c r="D1093" s="7"/>
      <c r="E1093" s="8"/>
      <c r="F1093" s="8"/>
      <c r="G1093" s="8"/>
      <c r="H1093" s="9"/>
      <c r="I1093" s="10"/>
      <c r="J1093" s="18"/>
      <c r="K1093" s="19"/>
    </row>
    <row r="1094" spans="2:11" ht="16.5" customHeight="1">
      <c r="B1094" s="4"/>
      <c r="C1094" s="6" t="s">
        <v>143</v>
      </c>
      <c r="D1094" s="7">
        <v>1</v>
      </c>
      <c r="E1094" s="8">
        <v>0.9</v>
      </c>
      <c r="F1094" s="8">
        <v>0.6</v>
      </c>
      <c r="G1094" s="8">
        <v>0.1</v>
      </c>
      <c r="H1094" s="9">
        <f t="shared" ref="H1094" si="115">PRODUCT(D1094:G1094)</f>
        <v>5.4000000000000006E-2</v>
      </c>
      <c r="I1094" s="10"/>
      <c r="J1094" s="18"/>
      <c r="K1094" s="19"/>
    </row>
    <row r="1095" spans="2:11">
      <c r="B1095" s="4"/>
      <c r="C1095" s="6"/>
      <c r="D1095" s="7"/>
      <c r="E1095" s="8"/>
      <c r="F1095" s="8"/>
      <c r="G1095" s="8"/>
      <c r="H1095" s="9"/>
      <c r="I1095" s="10"/>
      <c r="J1095" s="18"/>
      <c r="K1095" s="19"/>
    </row>
    <row r="1096" spans="2:11">
      <c r="B1096" s="4"/>
      <c r="C1096" s="6"/>
      <c r="D1096" s="7"/>
      <c r="E1096" s="8"/>
      <c r="F1096" s="8"/>
      <c r="G1096" s="8"/>
      <c r="H1096" s="9"/>
      <c r="I1096" s="10"/>
      <c r="J1096" s="18"/>
      <c r="K1096" s="19"/>
    </row>
    <row r="1097" spans="2:11">
      <c r="B1097" s="4"/>
      <c r="C1097" s="6" t="s">
        <v>113</v>
      </c>
      <c r="D1097" s="7">
        <v>1</v>
      </c>
      <c r="E1097" s="8" t="s">
        <v>120</v>
      </c>
      <c r="F1097" s="8">
        <v>0.54100000000000004</v>
      </c>
      <c r="G1097" s="8">
        <v>1.5</v>
      </c>
      <c r="H1097" s="9">
        <f t="shared" ref="H1097" si="116">PRODUCT(D1097:G1097)</f>
        <v>0.81150000000000011</v>
      </c>
      <c r="I1097" s="10"/>
      <c r="J1097" s="18"/>
      <c r="K1097" s="19"/>
    </row>
    <row r="1098" spans="2:11">
      <c r="B1098" s="4"/>
      <c r="C1098" s="6"/>
      <c r="D1098" s="7"/>
      <c r="E1098" s="8"/>
      <c r="F1098" s="8"/>
      <c r="G1098" s="8"/>
      <c r="H1098" s="9"/>
      <c r="I1098" s="10"/>
      <c r="J1098" s="18"/>
      <c r="K1098" s="19"/>
    </row>
    <row r="1099" spans="2:11">
      <c r="B1099" s="4"/>
      <c r="C1099" s="6"/>
      <c r="D1099" s="7"/>
      <c r="E1099" s="8"/>
      <c r="F1099" s="8"/>
      <c r="G1099" s="8"/>
      <c r="H1099" s="9"/>
      <c r="I1099" s="10"/>
      <c r="J1099" s="18"/>
      <c r="K1099" s="19"/>
    </row>
    <row r="1100" spans="2:11">
      <c r="B1100" s="4"/>
      <c r="C1100" s="21" t="s">
        <v>199</v>
      </c>
      <c r="D1100" s="7">
        <v>1</v>
      </c>
      <c r="E1100" s="8">
        <f>9.1+9.1+1.5+18.4+15.39</f>
        <v>53.489999999999995</v>
      </c>
      <c r="F1100" s="8">
        <v>0.15</v>
      </c>
      <c r="G1100" s="8">
        <v>0.15</v>
      </c>
      <c r="H1100" s="9">
        <f t="shared" ref="H1100" si="117">PRODUCT(D1100:G1100)</f>
        <v>1.2035249999999997</v>
      </c>
      <c r="I1100" s="10"/>
      <c r="J1100" s="18"/>
      <c r="K1100" s="19"/>
    </row>
    <row r="1101" spans="2:11">
      <c r="B1101" s="4"/>
      <c r="C1101" s="52"/>
      <c r="D1101" s="7"/>
      <c r="E1101" s="8"/>
      <c r="F1101" s="8"/>
      <c r="G1101" s="8"/>
      <c r="H1101" s="9"/>
      <c r="I1101" s="10"/>
      <c r="J1101" s="51"/>
      <c r="K1101" s="52"/>
    </row>
    <row r="1102" spans="2:11">
      <c r="B1102" s="4"/>
      <c r="C1102" s="191" t="s">
        <v>23</v>
      </c>
      <c r="D1102" s="191"/>
      <c r="E1102" s="191"/>
      <c r="F1102" s="191"/>
      <c r="G1102" s="191"/>
      <c r="H1102" s="192"/>
      <c r="I1102" s="11">
        <f>SUM(H1103:H1112)</f>
        <v>272.15103999999997</v>
      </c>
      <c r="J1102" s="18" t="s">
        <v>24</v>
      </c>
      <c r="K1102" s="19"/>
    </row>
    <row r="1103" spans="2:11">
      <c r="B1103" s="4"/>
      <c r="C1103" s="6" t="s">
        <v>47</v>
      </c>
      <c r="D1103" s="7" t="s">
        <v>26</v>
      </c>
      <c r="E1103" s="8">
        <f>2.54+0.51+0.089+0.13+2.08+0.51+0.089+0.13</f>
        <v>6.0780000000000003</v>
      </c>
      <c r="F1103" s="8">
        <f>ROUND(+E1089/0.25,0)</f>
        <v>12</v>
      </c>
      <c r="G1103" s="8">
        <v>0.56000000000000005</v>
      </c>
      <c r="H1103" s="9">
        <f t="shared" ref="H1103:H1108" si="118">PRODUCT(E1103:G1103)</f>
        <v>40.844160000000009</v>
      </c>
      <c r="I1103" s="10"/>
      <c r="J1103" s="18"/>
      <c r="K1103" s="19"/>
    </row>
    <row r="1104" spans="2:11">
      <c r="B1104" s="4"/>
      <c r="C1104" s="6"/>
      <c r="D1104" s="7" t="s">
        <v>26</v>
      </c>
      <c r="E1104" s="8">
        <f>2.54+0.51+0.089+0.13+2.08+0.51+0.089+0.13</f>
        <v>6.0780000000000003</v>
      </c>
      <c r="F1104" s="8">
        <f>ROUND(+F1089/0.25,0)</f>
        <v>6</v>
      </c>
      <c r="G1104" s="8">
        <v>0.56000000000000005</v>
      </c>
      <c r="H1104" s="9">
        <f t="shared" si="118"/>
        <v>20.422080000000005</v>
      </c>
      <c r="I1104" s="10"/>
      <c r="J1104" s="18"/>
      <c r="K1104" s="19"/>
    </row>
    <row r="1105" spans="2:11">
      <c r="B1105" s="4"/>
      <c r="C1105" s="6" t="s">
        <v>48</v>
      </c>
      <c r="D1105" s="7" t="s">
        <v>26</v>
      </c>
      <c r="E1105" s="8">
        <v>0.75</v>
      </c>
      <c r="F1105" s="8">
        <f>+E1092/0.2</f>
        <v>66.699999999999989</v>
      </c>
      <c r="G1105" s="8">
        <v>0.56000000000000005</v>
      </c>
      <c r="H1105" s="9">
        <f t="shared" si="118"/>
        <v>28.013999999999999</v>
      </c>
      <c r="I1105" s="10"/>
      <c r="J1105" s="18"/>
      <c r="K1105" s="19"/>
    </row>
    <row r="1106" spans="2:11">
      <c r="B1106" s="4"/>
      <c r="C1106" s="6"/>
      <c r="D1106" s="7" t="s">
        <v>26</v>
      </c>
      <c r="E1106" s="8">
        <v>7</v>
      </c>
      <c r="F1106" s="8">
        <f>+E1092</f>
        <v>13.34</v>
      </c>
      <c r="G1106" s="8">
        <v>0.56000000000000005</v>
      </c>
      <c r="H1106" s="9">
        <f t="shared" si="118"/>
        <v>52.2928</v>
      </c>
      <c r="I1106" s="10"/>
      <c r="J1106" s="18"/>
      <c r="K1106" s="19"/>
    </row>
    <row r="1107" spans="2:11">
      <c r="B1107" s="4"/>
      <c r="C1107" s="6" t="s">
        <v>113</v>
      </c>
      <c r="D1107" s="7" t="s">
        <v>26</v>
      </c>
      <c r="E1107" s="8">
        <v>14</v>
      </c>
      <c r="F1107" s="8">
        <f>1.5+0.15+0.15</f>
        <v>1.7999999999999998</v>
      </c>
      <c r="G1107" s="8">
        <v>0.56000000000000005</v>
      </c>
      <c r="H1107" s="9">
        <f t="shared" si="118"/>
        <v>14.111999999999998</v>
      </c>
      <c r="I1107" s="10"/>
      <c r="J1107" s="18"/>
      <c r="K1107" s="19"/>
    </row>
    <row r="1108" spans="2:11">
      <c r="B1108" s="4"/>
      <c r="C1108" s="6"/>
      <c r="D1108" s="7" t="s">
        <v>26</v>
      </c>
      <c r="E1108" s="8">
        <f>1.5/0.25</f>
        <v>6</v>
      </c>
      <c r="F1108" s="8">
        <v>3.46</v>
      </c>
      <c r="G1108" s="8">
        <v>0.56000000000000005</v>
      </c>
      <c r="H1108" s="9">
        <f t="shared" si="118"/>
        <v>11.6256</v>
      </c>
      <c r="I1108" s="10"/>
      <c r="J1108" s="18"/>
      <c r="K1108" s="19"/>
    </row>
    <row r="1109" spans="2:11">
      <c r="B1109" s="4"/>
      <c r="C1109" s="6"/>
      <c r="D1109" s="7"/>
      <c r="E1109" s="8"/>
      <c r="F1109" s="8"/>
      <c r="G1109" s="8"/>
      <c r="H1109" s="9"/>
      <c r="I1109" s="10"/>
      <c r="J1109" s="18"/>
      <c r="K1109" s="19"/>
    </row>
    <row r="1110" spans="2:11">
      <c r="B1110" s="4"/>
      <c r="C1110" s="21" t="s">
        <v>199</v>
      </c>
      <c r="D1110" s="7" t="s">
        <v>26</v>
      </c>
      <c r="E1110" s="8">
        <f>+E1100</f>
        <v>53.489999999999995</v>
      </c>
      <c r="F1110" s="8">
        <v>2</v>
      </c>
      <c r="G1110" s="8">
        <v>0.56000000000000005</v>
      </c>
      <c r="H1110" s="9">
        <f t="shared" ref="H1110:H1111" si="119">PRODUCT(E1110:G1110)</f>
        <v>59.908799999999999</v>
      </c>
      <c r="I1110" s="10"/>
      <c r="J1110" s="18"/>
      <c r="K1110" s="19"/>
    </row>
    <row r="1111" spans="2:11">
      <c r="B1111" s="4"/>
      <c r="C1111" s="6"/>
      <c r="D1111" s="7" t="s">
        <v>26</v>
      </c>
      <c r="E1111" s="8">
        <v>0.3</v>
      </c>
      <c r="F1111" s="38">
        <f>+E1110/0.2</f>
        <v>267.44999999999993</v>
      </c>
      <c r="G1111" s="8">
        <v>0.56000000000000005</v>
      </c>
      <c r="H1111" s="9">
        <f t="shared" si="119"/>
        <v>44.931599999999989</v>
      </c>
      <c r="I1111" s="10"/>
      <c r="J1111" s="18"/>
      <c r="K1111" s="19"/>
    </row>
    <row r="1112" spans="2:11">
      <c r="B1112" s="4"/>
      <c r="C1112" s="6"/>
      <c r="D1112" s="7"/>
      <c r="E1112" s="8"/>
      <c r="F1112" s="8"/>
      <c r="G1112" s="8"/>
      <c r="H1112" s="9"/>
      <c r="I1112" s="10"/>
      <c r="J1112" s="18"/>
      <c r="K1112" s="19"/>
    </row>
    <row r="1113" spans="2:11">
      <c r="B1113" s="4"/>
      <c r="C1113" s="191" t="s">
        <v>27</v>
      </c>
      <c r="D1113" s="191"/>
      <c r="E1113" s="191"/>
      <c r="F1113" s="191"/>
      <c r="G1113" s="191"/>
      <c r="H1113" s="192"/>
      <c r="I1113" s="11">
        <f>SUM(H1114:H1125)</f>
        <v>20.042999999999999</v>
      </c>
      <c r="J1113" s="18" t="s">
        <v>19</v>
      </c>
      <c r="K1113" s="19"/>
    </row>
    <row r="1114" spans="2:11">
      <c r="B1114" s="4"/>
      <c r="C1114" s="6" t="s">
        <v>47</v>
      </c>
      <c r="D1114" s="7">
        <v>2</v>
      </c>
      <c r="E1114" s="8">
        <f>+E1089</f>
        <v>2.95</v>
      </c>
      <c r="F1114" s="8"/>
      <c r="G1114" s="8">
        <v>0.3</v>
      </c>
      <c r="H1114" s="9">
        <f t="shared" ref="H1114:H1117" si="120">PRODUCT(D1114:G1114)</f>
        <v>1.77</v>
      </c>
      <c r="I1114" s="10"/>
      <c r="J1114" s="18"/>
      <c r="K1114" s="19"/>
    </row>
    <row r="1115" spans="2:11">
      <c r="B1115" s="4"/>
      <c r="C1115" s="6"/>
      <c r="D1115" s="7">
        <v>2</v>
      </c>
      <c r="E1115" s="8">
        <f>+F1089</f>
        <v>1.4</v>
      </c>
      <c r="F1115" s="8"/>
      <c r="G1115" s="8">
        <v>0.3</v>
      </c>
      <c r="H1115" s="9">
        <f t="shared" si="120"/>
        <v>0.84</v>
      </c>
      <c r="I1115" s="10"/>
      <c r="J1115" s="18"/>
      <c r="K1115" s="19"/>
    </row>
    <row r="1116" spans="2:11">
      <c r="B1116" s="4"/>
      <c r="C1116" s="6"/>
      <c r="D1116" s="7"/>
      <c r="E1116" s="8"/>
      <c r="F1116" s="8"/>
      <c r="G1116" s="8"/>
      <c r="H1116" s="9"/>
      <c r="I1116" s="10"/>
      <c r="J1116" s="18"/>
      <c r="K1116" s="19"/>
    </row>
    <row r="1117" spans="2:11">
      <c r="B1117" s="4"/>
      <c r="C1117" s="6" t="s">
        <v>48</v>
      </c>
      <c r="D1117" s="7">
        <v>1</v>
      </c>
      <c r="E1117" s="8">
        <f>+E1092</f>
        <v>13.34</v>
      </c>
      <c r="F1117" s="8"/>
      <c r="G1117" s="8">
        <v>0.75</v>
      </c>
      <c r="H1117" s="9">
        <f t="shared" si="120"/>
        <v>10.004999999999999</v>
      </c>
      <c r="I1117" s="10"/>
      <c r="J1117" s="18"/>
      <c r="K1117" s="19"/>
    </row>
    <row r="1118" spans="2:11">
      <c r="B1118" s="4"/>
      <c r="C1118" s="6"/>
      <c r="D1118" s="7"/>
      <c r="E1118" s="8"/>
      <c r="F1118" s="8"/>
      <c r="G1118" s="8"/>
      <c r="H1118" s="9"/>
      <c r="I1118" s="10"/>
      <c r="J1118" s="18"/>
      <c r="K1118" s="19"/>
    </row>
    <row r="1119" spans="2:11">
      <c r="B1119" s="4"/>
      <c r="C1119" s="6" t="s">
        <v>113</v>
      </c>
      <c r="D1119" s="7">
        <v>1</v>
      </c>
      <c r="E1119" s="8"/>
      <c r="F1119" s="8">
        <v>1.5</v>
      </c>
      <c r="G1119" s="8">
        <v>0.35</v>
      </c>
      <c r="H1119" s="9">
        <f t="shared" ref="H1119:H1122" si="121">PRODUCT(E1119:G1119)</f>
        <v>0.52499999999999991</v>
      </c>
      <c r="I1119" s="10"/>
      <c r="J1119" s="18"/>
      <c r="K1119" s="19"/>
    </row>
    <row r="1120" spans="2:11">
      <c r="B1120" s="4"/>
      <c r="C1120" s="6"/>
      <c r="D1120" s="7">
        <v>1</v>
      </c>
      <c r="E1120" s="8"/>
      <c r="F1120" s="8">
        <v>1.5</v>
      </c>
      <c r="G1120" s="8">
        <v>0.2</v>
      </c>
      <c r="H1120" s="9">
        <f t="shared" si="121"/>
        <v>0.30000000000000004</v>
      </c>
      <c r="I1120" s="10"/>
      <c r="J1120" s="18"/>
      <c r="K1120" s="19"/>
    </row>
    <row r="1121" spans="2:12">
      <c r="B1121" s="4"/>
      <c r="C1121" s="6"/>
      <c r="D1121" s="7">
        <v>2</v>
      </c>
      <c r="E1121" s="8">
        <f>1.32+1.8</f>
        <v>3.12</v>
      </c>
      <c r="F1121" s="8"/>
      <c r="G1121" s="8">
        <v>0.15</v>
      </c>
      <c r="H1121" s="9">
        <f t="shared" si="121"/>
        <v>0.46799999999999997</v>
      </c>
      <c r="I1121" s="10"/>
      <c r="J1121" s="18"/>
      <c r="K1121" s="19"/>
    </row>
    <row r="1122" spans="2:12">
      <c r="B1122" s="4"/>
      <c r="C1122" s="6"/>
      <c r="D1122" s="7">
        <v>2</v>
      </c>
      <c r="E1122" s="8">
        <v>1.5</v>
      </c>
      <c r="F1122" s="8"/>
      <c r="G1122" s="8">
        <v>0.15</v>
      </c>
      <c r="H1122" s="9">
        <f t="shared" si="121"/>
        <v>0.22499999999999998</v>
      </c>
      <c r="I1122" s="10"/>
      <c r="J1122" s="18"/>
      <c r="K1122" s="19"/>
    </row>
    <row r="1123" spans="2:12">
      <c r="B1123" s="4"/>
      <c r="C1123" s="6"/>
      <c r="D1123" s="7"/>
      <c r="E1123" s="8"/>
      <c r="F1123" s="8"/>
      <c r="G1123" s="8"/>
      <c r="H1123" s="9"/>
      <c r="I1123" s="10"/>
      <c r="J1123" s="18"/>
      <c r="K1123" s="19"/>
    </row>
    <row r="1124" spans="2:12">
      <c r="B1124" s="4"/>
      <c r="C1124" s="21" t="s">
        <v>199</v>
      </c>
      <c r="D1124" s="7">
        <v>2</v>
      </c>
      <c r="E1124" s="8">
        <f>9.1+9.1+1.5</f>
        <v>19.7</v>
      </c>
      <c r="F1124" s="8"/>
      <c r="G1124" s="8">
        <v>0.15</v>
      </c>
      <c r="H1124" s="9">
        <f t="shared" ref="H1124" si="122">PRODUCT(D1124:G1124)</f>
        <v>5.9099999999999993</v>
      </c>
      <c r="I1124" s="10"/>
      <c r="J1124" s="18"/>
      <c r="K1124" s="19"/>
    </row>
    <row r="1125" spans="2:12">
      <c r="B1125" s="4"/>
      <c r="C1125" s="6"/>
      <c r="D1125" s="7"/>
      <c r="E1125" s="8"/>
      <c r="F1125" s="8"/>
      <c r="G1125" s="8"/>
      <c r="H1125" s="9"/>
      <c r="I1125" s="10"/>
      <c r="J1125" s="18"/>
      <c r="K1125" s="19"/>
    </row>
    <row r="1126" spans="2:12">
      <c r="B1126" s="4">
        <v>19</v>
      </c>
      <c r="C1126" s="194" t="s">
        <v>155</v>
      </c>
      <c r="D1126" s="195"/>
      <c r="E1126" s="195"/>
      <c r="F1126" s="195"/>
      <c r="G1126" s="195"/>
      <c r="H1126" s="195"/>
      <c r="I1126" s="5"/>
      <c r="J1126" s="5" t="s">
        <v>45</v>
      </c>
      <c r="K1126" s="5"/>
    </row>
    <row r="1127" spans="2:12">
      <c r="B1127" s="4"/>
      <c r="C1127" s="191" t="s">
        <v>44</v>
      </c>
      <c r="D1127" s="191"/>
      <c r="E1127" s="191"/>
      <c r="F1127" s="191"/>
      <c r="G1127" s="191"/>
      <c r="H1127" s="192"/>
      <c r="I1127" s="11">
        <f>SUM(H1128:H1133)</f>
        <v>0.3219999999999999</v>
      </c>
      <c r="J1127" s="18" t="s">
        <v>21</v>
      </c>
      <c r="K1127" s="19"/>
    </row>
    <row r="1128" spans="2:12">
      <c r="B1128" s="4"/>
      <c r="C1128" s="6" t="s">
        <v>62</v>
      </c>
      <c r="D1128" s="7">
        <v>1</v>
      </c>
      <c r="E1128" s="8">
        <v>0.6</v>
      </c>
      <c r="F1128" s="8">
        <v>0.6</v>
      </c>
      <c r="G1128" s="8">
        <v>0.8</v>
      </c>
      <c r="H1128" s="9">
        <f>PRODUCT(D1128:G1128)</f>
        <v>0.28799999999999998</v>
      </c>
      <c r="I1128" s="10"/>
      <c r="J1128" s="18"/>
      <c r="K1128" s="19"/>
    </row>
    <row r="1129" spans="2:12">
      <c r="B1129" s="4"/>
      <c r="C1129" s="6"/>
      <c r="D1129" s="7">
        <v>-1</v>
      </c>
      <c r="E1129" s="8">
        <v>0.4</v>
      </c>
      <c r="F1129" s="8">
        <v>0.4</v>
      </c>
      <c r="G1129" s="8">
        <v>0.6</v>
      </c>
      <c r="H1129" s="9">
        <f t="shared" ref="H1129" si="123">PRODUCT(D1129:G1129)</f>
        <v>-9.6000000000000016E-2</v>
      </c>
      <c r="I1129" s="10"/>
      <c r="J1129" s="18"/>
      <c r="K1129" s="19"/>
    </row>
    <row r="1130" spans="2:12">
      <c r="B1130" s="4"/>
      <c r="C1130" s="6" t="s">
        <v>63</v>
      </c>
      <c r="D1130" s="7">
        <v>1</v>
      </c>
      <c r="E1130" s="8">
        <v>0.3</v>
      </c>
      <c r="F1130" s="8">
        <v>0.3</v>
      </c>
      <c r="G1130" s="8">
        <v>0.6</v>
      </c>
      <c r="H1130" s="9">
        <f>PRODUCT(D1130:G1130)</f>
        <v>5.3999999999999999E-2</v>
      </c>
      <c r="I1130" s="10"/>
      <c r="J1130" s="18"/>
      <c r="K1130" s="19"/>
    </row>
    <row r="1131" spans="2:12">
      <c r="B1131" s="4"/>
      <c r="C1131" s="6"/>
      <c r="D1131" s="7">
        <v>-1</v>
      </c>
      <c r="E1131" s="8">
        <v>0.2</v>
      </c>
      <c r="F1131" s="8">
        <v>0.2</v>
      </c>
      <c r="G1131" s="8">
        <v>0.5</v>
      </c>
      <c r="H1131" s="9">
        <f>PRODUCT(D1131:G1131)</f>
        <v>-2.0000000000000004E-2</v>
      </c>
      <c r="I1131" s="10"/>
      <c r="J1131" s="18"/>
      <c r="K1131" s="19"/>
    </row>
    <row r="1132" spans="2:12">
      <c r="B1132" s="4"/>
      <c r="C1132" s="6" t="s">
        <v>64</v>
      </c>
      <c r="D1132" s="7">
        <v>1</v>
      </c>
      <c r="E1132" s="8">
        <v>0.6</v>
      </c>
      <c r="F1132" s="8">
        <v>0.4</v>
      </c>
      <c r="G1132" s="8">
        <v>0.8</v>
      </c>
      <c r="H1132" s="9">
        <f>PRODUCT(D1132:G1132)</f>
        <v>0.192</v>
      </c>
      <c r="I1132" s="10"/>
      <c r="J1132" s="18"/>
      <c r="K1132" s="19"/>
    </row>
    <row r="1133" spans="2:12">
      <c r="B1133" s="4"/>
      <c r="C1133" s="6"/>
      <c r="D1133" s="7">
        <v>-1</v>
      </c>
      <c r="E1133" s="8">
        <v>0.4</v>
      </c>
      <c r="F1133" s="8">
        <v>0.4</v>
      </c>
      <c r="G1133" s="8">
        <v>0.6</v>
      </c>
      <c r="H1133" s="9">
        <f>PRODUCT(D1133:G1133)</f>
        <v>-9.6000000000000016E-2</v>
      </c>
      <c r="I1133" s="10"/>
      <c r="J1133" s="18"/>
      <c r="K1133" s="19"/>
      <c r="L1133">
        <f>12*2.54</f>
        <v>30.48</v>
      </c>
    </row>
    <row r="1134" spans="2:12">
      <c r="B1134" s="4"/>
      <c r="C1134" s="191" t="s">
        <v>23</v>
      </c>
      <c r="D1134" s="191"/>
      <c r="E1134" s="191"/>
      <c r="F1134" s="191"/>
      <c r="G1134" s="191"/>
      <c r="H1134" s="192"/>
      <c r="I1134" s="11">
        <f>SUM(H1135:H1140)</f>
        <v>40.992000000000004</v>
      </c>
      <c r="J1134" s="18" t="s">
        <v>24</v>
      </c>
      <c r="K1134" s="19"/>
    </row>
    <row r="1135" spans="2:12">
      <c r="B1135" s="4"/>
      <c r="C1135" s="6" t="s">
        <v>62</v>
      </c>
      <c r="D1135" s="7" t="s">
        <v>26</v>
      </c>
      <c r="E1135" s="8">
        <v>6</v>
      </c>
      <c r="F1135" s="8">
        <v>2.2000000000000002</v>
      </c>
      <c r="G1135" s="8">
        <v>0.56000000000000005</v>
      </c>
      <c r="H1135" s="9">
        <f t="shared" ref="H1135:H1140" si="124">PRODUCT(E1135:G1135)</f>
        <v>7.3920000000000012</v>
      </c>
      <c r="I1135" s="10"/>
      <c r="J1135" s="18"/>
      <c r="K1135" s="19"/>
    </row>
    <row r="1136" spans="2:12">
      <c r="B1136" s="4"/>
      <c r="C1136" s="6"/>
      <c r="D1136" s="7" t="s">
        <v>26</v>
      </c>
      <c r="E1136" s="8">
        <v>8</v>
      </c>
      <c r="F1136" s="8">
        <v>1.4</v>
      </c>
      <c r="G1136" s="8">
        <v>0.56000000000000005</v>
      </c>
      <c r="H1136" s="9">
        <f t="shared" si="124"/>
        <v>6.2720000000000002</v>
      </c>
      <c r="I1136" s="10"/>
      <c r="J1136" s="18"/>
      <c r="K1136" s="19"/>
    </row>
    <row r="1137" spans="2:12">
      <c r="B1137" s="4"/>
      <c r="C1137" s="6" t="s">
        <v>63</v>
      </c>
      <c r="D1137" s="7" t="s">
        <v>26</v>
      </c>
      <c r="E1137" s="8">
        <v>6</v>
      </c>
      <c r="F1137" s="8">
        <v>2.2000000000000002</v>
      </c>
      <c r="G1137" s="8">
        <v>0.56000000000000005</v>
      </c>
      <c r="H1137" s="9">
        <f t="shared" si="124"/>
        <v>7.3920000000000012</v>
      </c>
      <c r="I1137" s="10"/>
      <c r="J1137" s="18"/>
      <c r="K1137" s="19"/>
    </row>
    <row r="1138" spans="2:12">
      <c r="B1138" s="4"/>
      <c r="C1138" s="6"/>
      <c r="D1138" s="7" t="s">
        <v>26</v>
      </c>
      <c r="E1138" s="8">
        <v>8</v>
      </c>
      <c r="F1138" s="8">
        <v>1.4</v>
      </c>
      <c r="G1138" s="8">
        <v>0.56000000000000005</v>
      </c>
      <c r="H1138" s="9">
        <f t="shared" si="124"/>
        <v>6.2720000000000002</v>
      </c>
      <c r="I1138" s="10"/>
      <c r="J1138" s="18"/>
      <c r="K1138" s="19"/>
    </row>
    <row r="1139" spans="2:12">
      <c r="B1139" s="4"/>
      <c r="C1139" s="6" t="s">
        <v>64</v>
      </c>
      <c r="D1139" s="7" t="s">
        <v>26</v>
      </c>
      <c r="E1139" s="8">
        <v>6</v>
      </c>
      <c r="F1139" s="8">
        <v>2.2000000000000002</v>
      </c>
      <c r="G1139" s="8">
        <v>0.56000000000000005</v>
      </c>
      <c r="H1139" s="9">
        <f t="shared" si="124"/>
        <v>7.3920000000000012</v>
      </c>
      <c r="I1139" s="10"/>
      <c r="J1139" s="18"/>
      <c r="K1139" s="19"/>
    </row>
    <row r="1140" spans="2:12">
      <c r="B1140" s="4"/>
      <c r="C1140" s="21"/>
      <c r="D1140" s="7" t="s">
        <v>26</v>
      </c>
      <c r="E1140" s="8">
        <v>8</v>
      </c>
      <c r="F1140" s="8">
        <v>1.4</v>
      </c>
      <c r="G1140" s="8">
        <v>0.56000000000000005</v>
      </c>
      <c r="H1140" s="9">
        <f t="shared" si="124"/>
        <v>6.2720000000000002</v>
      </c>
      <c r="I1140" s="10"/>
      <c r="J1140" s="18"/>
      <c r="K1140" s="19"/>
    </row>
    <row r="1141" spans="2:12">
      <c r="B1141" s="4"/>
      <c r="C1141" s="191" t="s">
        <v>27</v>
      </c>
      <c r="D1141" s="191"/>
      <c r="E1141" s="191"/>
      <c r="F1141" s="191"/>
      <c r="G1141" s="191"/>
      <c r="H1141" s="192"/>
      <c r="I1141" s="11">
        <f>SUM(H1142:H1144)</f>
        <v>5.85</v>
      </c>
      <c r="J1141" s="18" t="s">
        <v>19</v>
      </c>
      <c r="K1141" s="19"/>
    </row>
    <row r="1142" spans="2:12">
      <c r="B1142" s="4"/>
      <c r="C1142" s="40"/>
      <c r="D1142" s="41">
        <v>1</v>
      </c>
      <c r="E1142" s="20">
        <v>1.95</v>
      </c>
      <c r="F1142" s="20"/>
      <c r="G1142" s="20">
        <v>3</v>
      </c>
      <c r="H1142" s="42">
        <v>5.85</v>
      </c>
      <c r="I1142" s="10"/>
      <c r="J1142" s="18"/>
      <c r="K1142" s="19"/>
    </row>
    <row r="1143" spans="2:12">
      <c r="B1143" s="4"/>
      <c r="C1143" s="6"/>
      <c r="D1143" s="7"/>
      <c r="E1143" s="8"/>
      <c r="F1143" s="8"/>
      <c r="G1143" s="8"/>
      <c r="H1143" s="9"/>
      <c r="I1143" s="10"/>
      <c r="J1143" s="18"/>
      <c r="K1143" s="19"/>
    </row>
    <row r="1144" spans="2:12">
      <c r="B1144" s="4"/>
      <c r="C1144" s="6"/>
      <c r="D1144" s="7"/>
      <c r="E1144" s="8"/>
      <c r="F1144" s="8"/>
      <c r="G1144" s="8"/>
      <c r="H1144" s="9"/>
      <c r="I1144" s="10"/>
      <c r="J1144" s="18"/>
      <c r="K1144" s="19"/>
    </row>
    <row r="1145" spans="2:12">
      <c r="B1145" s="4">
        <v>20</v>
      </c>
      <c r="C1145" s="194" t="s">
        <v>32</v>
      </c>
      <c r="D1145" s="195"/>
      <c r="E1145" s="195"/>
      <c r="F1145" s="195"/>
      <c r="G1145" s="195"/>
      <c r="H1145" s="195"/>
      <c r="I1145" s="5">
        <f>SUM(H1149:H1202)</f>
        <v>380.86870000000005</v>
      </c>
      <c r="J1145" s="5" t="s">
        <v>19</v>
      </c>
      <c r="K1145" s="5"/>
    </row>
    <row r="1146" spans="2:12">
      <c r="B1146" s="4"/>
      <c r="C1146" s="149" t="s">
        <v>652</v>
      </c>
      <c r="D1146" s="7"/>
      <c r="E1146" s="8"/>
      <c r="F1146" s="8"/>
      <c r="G1146" s="8"/>
      <c r="H1146" s="9"/>
      <c r="I1146" s="36"/>
      <c r="J1146" s="18"/>
      <c r="K1146" s="19"/>
    </row>
    <row r="1147" spans="2:12">
      <c r="B1147" s="4"/>
      <c r="C1147" s="6"/>
      <c r="D1147" s="7"/>
      <c r="E1147" s="8"/>
      <c r="F1147" s="8"/>
      <c r="G1147" s="8"/>
      <c r="H1147" s="9"/>
      <c r="I1147" s="36"/>
      <c r="J1147" s="18"/>
      <c r="K1147" s="19"/>
    </row>
    <row r="1148" spans="2:12">
      <c r="B1148" s="4"/>
      <c r="C1148" s="21" t="s">
        <v>132</v>
      </c>
      <c r="D1148" s="7"/>
      <c r="E1148" s="8"/>
      <c r="F1148" s="8"/>
      <c r="G1148" s="8"/>
      <c r="H1148" s="9"/>
      <c r="I1148" s="10"/>
      <c r="J1148" s="18"/>
      <c r="K1148" s="19"/>
    </row>
    <row r="1149" spans="2:12">
      <c r="B1149" s="4"/>
      <c r="C1149" s="6" t="s">
        <v>435</v>
      </c>
      <c r="D1149" s="7">
        <v>1</v>
      </c>
      <c r="E1149" s="8">
        <v>4.1500000000000004</v>
      </c>
      <c r="F1149" s="8"/>
      <c r="G1149" s="8">
        <f>3.65-0.25</f>
        <v>3.4</v>
      </c>
      <c r="H1149" s="9">
        <f>PRODUCT(D1149:G1149)</f>
        <v>14.110000000000001</v>
      </c>
      <c r="I1149" s="36"/>
      <c r="J1149" s="18"/>
      <c r="K1149" s="19"/>
      <c r="L1149" t="s">
        <v>523</v>
      </c>
    </row>
    <row r="1150" spans="2:12">
      <c r="B1150" s="4"/>
      <c r="C1150" s="6"/>
      <c r="D1150" s="7">
        <v>1</v>
      </c>
      <c r="E1150" s="8">
        <v>4.05</v>
      </c>
      <c r="F1150" s="8"/>
      <c r="G1150" s="8">
        <f>3.65-0.25</f>
        <v>3.4</v>
      </c>
      <c r="H1150" s="9">
        <f t="shared" ref="H1150:H1198" si="125">PRODUCT(D1150:G1150)</f>
        <v>13.77</v>
      </c>
      <c r="I1150" s="36"/>
      <c r="J1150" s="18"/>
      <c r="K1150" s="19"/>
    </row>
    <row r="1151" spans="2:12">
      <c r="B1151" s="4"/>
      <c r="C1151" s="6"/>
      <c r="D1151" s="7">
        <v>1</v>
      </c>
      <c r="E1151" s="8">
        <v>3.35</v>
      </c>
      <c r="F1151" s="8"/>
      <c r="G1151" s="8">
        <f>3.65-0.25</f>
        <v>3.4</v>
      </c>
      <c r="H1151" s="9">
        <f t="shared" si="125"/>
        <v>11.39</v>
      </c>
      <c r="I1151" s="36"/>
      <c r="J1151" s="18"/>
      <c r="K1151" s="19"/>
    </row>
    <row r="1152" spans="2:12">
      <c r="B1152" s="4"/>
      <c r="C1152" s="6"/>
      <c r="D1152" s="7">
        <v>1</v>
      </c>
      <c r="E1152" s="8">
        <v>2.9</v>
      </c>
      <c r="F1152" s="8"/>
      <c r="G1152" s="8">
        <f>3.05-0.25</f>
        <v>2.8</v>
      </c>
      <c r="H1152" s="9">
        <f t="shared" si="125"/>
        <v>8.1199999999999992</v>
      </c>
      <c r="I1152" s="36"/>
      <c r="J1152" s="18"/>
      <c r="K1152" s="19"/>
    </row>
    <row r="1153" spans="2:11">
      <c r="B1153" s="4"/>
      <c r="C1153" s="6" t="s">
        <v>93</v>
      </c>
      <c r="D1153" s="7">
        <v>1</v>
      </c>
      <c r="E1153" s="8">
        <v>1.35</v>
      </c>
      <c r="F1153" s="8"/>
      <c r="G1153" s="8">
        <f>3.5-0.15</f>
        <v>3.35</v>
      </c>
      <c r="H1153" s="9">
        <f t="shared" si="125"/>
        <v>4.5225000000000009</v>
      </c>
      <c r="I1153" s="36"/>
      <c r="J1153" s="18"/>
      <c r="K1153" s="19"/>
    </row>
    <row r="1154" spans="2:11">
      <c r="B1154" s="4"/>
      <c r="C1154" s="6"/>
      <c r="D1154" s="7">
        <v>1</v>
      </c>
      <c r="E1154" s="8">
        <v>2.52</v>
      </c>
      <c r="F1154" s="8"/>
      <c r="G1154" s="8">
        <v>1.9</v>
      </c>
      <c r="H1154" s="9">
        <f t="shared" si="125"/>
        <v>4.7879999999999994</v>
      </c>
      <c r="I1154" s="36"/>
      <c r="J1154" s="18" t="s">
        <v>524</v>
      </c>
      <c r="K1154" s="19"/>
    </row>
    <row r="1155" spans="2:11">
      <c r="B1155" s="4"/>
      <c r="C1155" s="6" t="s">
        <v>92</v>
      </c>
      <c r="D1155" s="7">
        <v>1</v>
      </c>
      <c r="E1155" s="8">
        <v>4.1500000000000004</v>
      </c>
      <c r="F1155" s="8"/>
      <c r="G1155" s="8">
        <f>4.75-0.15-0.25-0.2</f>
        <v>4.1499999999999995</v>
      </c>
      <c r="H1155" s="9">
        <f t="shared" si="125"/>
        <v>17.2225</v>
      </c>
      <c r="I1155" s="36"/>
      <c r="J1155" s="18"/>
      <c r="K1155" s="19"/>
    </row>
    <row r="1156" spans="2:11">
      <c r="B1156" s="4"/>
      <c r="C1156" s="6"/>
      <c r="D1156" s="7">
        <v>1</v>
      </c>
      <c r="E1156" s="8">
        <v>2</v>
      </c>
      <c r="F1156" s="8"/>
      <c r="G1156" s="8">
        <f>4.75-0.15-0.25-0.2</f>
        <v>4.1499999999999995</v>
      </c>
      <c r="H1156" s="9">
        <f t="shared" si="125"/>
        <v>8.2999999999999989</v>
      </c>
      <c r="I1156" s="36"/>
      <c r="J1156" s="18"/>
      <c r="K1156" s="19"/>
    </row>
    <row r="1157" spans="2:11">
      <c r="B1157" s="4"/>
      <c r="C1157" s="6"/>
      <c r="D1157" s="7">
        <v>1</v>
      </c>
      <c r="E1157" s="8">
        <f>0.75+0.55</f>
        <v>1.3</v>
      </c>
      <c r="F1157" s="8"/>
      <c r="G1157" s="8">
        <f>4.75-0.15-0.25-0.2</f>
        <v>4.1499999999999995</v>
      </c>
      <c r="H1157" s="9">
        <f t="shared" si="125"/>
        <v>5.3949999999999996</v>
      </c>
      <c r="I1157" s="36"/>
      <c r="J1157" s="18"/>
      <c r="K1157" s="19"/>
    </row>
    <row r="1158" spans="2:11">
      <c r="B1158" s="4"/>
      <c r="D1158" s="7">
        <v>1</v>
      </c>
      <c r="E1158" s="8">
        <v>1.5</v>
      </c>
      <c r="F1158" s="8"/>
      <c r="G1158" s="8">
        <f>4.75-0.15-0.25-0.2-2.1</f>
        <v>2.0499999999999994</v>
      </c>
      <c r="H1158" s="9">
        <f t="shared" si="125"/>
        <v>3.0749999999999993</v>
      </c>
      <c r="I1158" s="36"/>
      <c r="J1158" s="18" t="s">
        <v>525</v>
      </c>
      <c r="K1158" s="19"/>
    </row>
    <row r="1159" spans="2:11">
      <c r="B1159" s="4"/>
      <c r="C1159" s="6"/>
      <c r="D1159" s="7">
        <v>1</v>
      </c>
      <c r="E1159" s="8">
        <v>3.35</v>
      </c>
      <c r="F1159" s="8"/>
      <c r="G1159" s="8">
        <f>4.75-0.15-0.25-0.2</f>
        <v>4.1499999999999995</v>
      </c>
      <c r="H1159" s="9">
        <f t="shared" si="125"/>
        <v>13.902499999999998</v>
      </c>
      <c r="I1159" s="36"/>
      <c r="J1159" s="18"/>
      <c r="K1159" s="19"/>
    </row>
    <row r="1160" spans="2:11">
      <c r="B1160" s="4"/>
      <c r="C1160" s="6"/>
      <c r="D1160" s="7">
        <v>1</v>
      </c>
      <c r="E1160" s="8">
        <v>1.95</v>
      </c>
      <c r="F1160" s="8"/>
      <c r="G1160" s="8">
        <f>3.94-0.15-0.25-0.2</f>
        <v>3.34</v>
      </c>
      <c r="H1160" s="9">
        <f t="shared" si="125"/>
        <v>6.5129999999999999</v>
      </c>
      <c r="I1160" s="36"/>
      <c r="J1160" s="18"/>
      <c r="K1160" s="19"/>
    </row>
    <row r="1161" spans="2:11">
      <c r="B1161" s="4"/>
      <c r="C1161" s="6"/>
      <c r="D1161" s="7">
        <v>1</v>
      </c>
      <c r="E1161" s="8">
        <v>2.52</v>
      </c>
      <c r="F1161" s="8"/>
      <c r="G1161" s="8">
        <v>1.9</v>
      </c>
      <c r="H1161" s="9">
        <f t="shared" si="125"/>
        <v>4.7879999999999994</v>
      </c>
      <c r="I1161" s="36"/>
      <c r="J1161" s="18"/>
      <c r="K1161" s="19"/>
    </row>
    <row r="1162" spans="2:11">
      <c r="B1162" s="4"/>
      <c r="C1162" s="6" t="s">
        <v>91</v>
      </c>
      <c r="D1162" s="7">
        <v>1</v>
      </c>
      <c r="E1162" s="8">
        <v>2.9</v>
      </c>
      <c r="F1162" s="8"/>
      <c r="G1162" s="8">
        <f>4.16-0.2-0.15-0.25</f>
        <v>3.56</v>
      </c>
      <c r="H1162" s="9">
        <f t="shared" si="125"/>
        <v>10.324</v>
      </c>
      <c r="I1162" s="36"/>
      <c r="J1162" s="18"/>
      <c r="K1162" s="19"/>
    </row>
    <row r="1163" spans="2:11">
      <c r="B1163" s="4"/>
      <c r="C1163" s="6" t="s">
        <v>90</v>
      </c>
      <c r="D1163" s="7">
        <v>1</v>
      </c>
      <c r="E1163" s="8">
        <v>1.1000000000000001</v>
      </c>
      <c r="F1163" s="8"/>
      <c r="G1163" s="8">
        <f>3.76-0.25</f>
        <v>3.51</v>
      </c>
      <c r="H1163" s="9">
        <f t="shared" si="125"/>
        <v>3.8610000000000002</v>
      </c>
      <c r="I1163" s="36"/>
      <c r="J1163" s="18"/>
      <c r="K1163" s="19"/>
    </row>
    <row r="1164" spans="2:11">
      <c r="B1164" s="4"/>
      <c r="C1164" s="6"/>
      <c r="D1164" s="7">
        <v>1</v>
      </c>
      <c r="E1164" s="8">
        <v>0.9</v>
      </c>
      <c r="F1164" s="8"/>
      <c r="G1164" s="8">
        <f>3.76-0.25-2.1</f>
        <v>1.4099999999999997</v>
      </c>
      <c r="H1164" s="9">
        <f t="shared" si="125"/>
        <v>1.2689999999999997</v>
      </c>
      <c r="I1164" s="36"/>
      <c r="J1164" s="18" t="s">
        <v>526</v>
      </c>
      <c r="K1164" s="19"/>
    </row>
    <row r="1165" spans="2:11">
      <c r="B1165" s="4"/>
      <c r="C1165" s="6"/>
      <c r="D1165" s="7">
        <v>1</v>
      </c>
      <c r="E1165" s="8">
        <v>0.9</v>
      </c>
      <c r="F1165" s="8"/>
      <c r="G1165" s="8">
        <f>3.76-0.25</f>
        <v>3.51</v>
      </c>
      <c r="H1165" s="9">
        <f t="shared" si="125"/>
        <v>3.1589999999999998</v>
      </c>
      <c r="I1165" s="36"/>
      <c r="J1165" s="18"/>
      <c r="K1165" s="19"/>
    </row>
    <row r="1166" spans="2:11">
      <c r="B1166" s="4"/>
      <c r="C1166" s="6"/>
      <c r="D1166" s="7">
        <v>1</v>
      </c>
      <c r="E1166" s="8">
        <v>1</v>
      </c>
      <c r="F1166" s="8"/>
      <c r="G1166" s="8">
        <f>3.76-0.25-2.1</f>
        <v>1.4099999999999997</v>
      </c>
      <c r="H1166" s="9">
        <f t="shared" si="125"/>
        <v>1.4099999999999997</v>
      </c>
      <c r="I1166" s="36"/>
      <c r="J1166" s="18" t="s">
        <v>527</v>
      </c>
      <c r="K1166" s="19"/>
    </row>
    <row r="1167" spans="2:11">
      <c r="B1167" s="4"/>
      <c r="C1167" s="6"/>
      <c r="D1167" s="7">
        <v>1</v>
      </c>
      <c r="E1167" s="8">
        <v>0.9</v>
      </c>
      <c r="F1167" s="8"/>
      <c r="G1167" s="8">
        <f>3.76-0.25</f>
        <v>3.51</v>
      </c>
      <c r="H1167" s="9">
        <f t="shared" si="125"/>
        <v>3.1589999999999998</v>
      </c>
      <c r="I1167" s="36"/>
      <c r="J1167" s="18"/>
      <c r="K1167" s="19"/>
    </row>
    <row r="1168" spans="2:11">
      <c r="B1168" s="4"/>
      <c r="C1168" s="6"/>
      <c r="D1168" s="7">
        <v>1</v>
      </c>
      <c r="E1168" s="8">
        <v>1</v>
      </c>
      <c r="F1168" s="8"/>
      <c r="G1168" s="8">
        <f>3.76-0.25-2.1</f>
        <v>1.4099999999999997</v>
      </c>
      <c r="H1168" s="9">
        <f t="shared" si="125"/>
        <v>1.4099999999999997</v>
      </c>
      <c r="I1168" s="36"/>
      <c r="J1168" s="18" t="s">
        <v>527</v>
      </c>
      <c r="K1168" s="19"/>
    </row>
    <row r="1169" spans="2:11">
      <c r="B1169" s="4"/>
      <c r="C1169" s="6" t="s">
        <v>89</v>
      </c>
      <c r="D1169" s="7">
        <v>1</v>
      </c>
      <c r="E1169" s="8">
        <v>2.9</v>
      </c>
      <c r="F1169" s="8"/>
      <c r="G1169" s="8">
        <f>3.5-0.25</f>
        <v>3.25</v>
      </c>
      <c r="H1169" s="9">
        <f t="shared" si="125"/>
        <v>9.4249999999999989</v>
      </c>
      <c r="I1169" s="36"/>
      <c r="J1169" s="18"/>
      <c r="K1169" s="19"/>
    </row>
    <row r="1170" spans="2:11">
      <c r="B1170" s="4"/>
      <c r="C1170" s="6"/>
      <c r="D1170" s="7">
        <v>1</v>
      </c>
      <c r="E1170" s="8">
        <v>1.9</v>
      </c>
      <c r="F1170" s="8"/>
      <c r="G1170" s="8">
        <f t="shared" ref="G1170:G1173" si="126">3.5-0.25</f>
        <v>3.25</v>
      </c>
      <c r="H1170" s="9">
        <f t="shared" si="125"/>
        <v>6.1749999999999998</v>
      </c>
      <c r="I1170" s="36"/>
      <c r="J1170" s="18"/>
      <c r="K1170" s="19"/>
    </row>
    <row r="1171" spans="2:11">
      <c r="B1171" s="4"/>
      <c r="C1171" s="6"/>
      <c r="D1171" s="7">
        <v>1</v>
      </c>
      <c r="E1171" s="8">
        <v>1.9</v>
      </c>
      <c r="F1171" s="8"/>
      <c r="G1171" s="8">
        <f t="shared" si="126"/>
        <v>3.25</v>
      </c>
      <c r="H1171" s="9">
        <f t="shared" si="125"/>
        <v>6.1749999999999998</v>
      </c>
      <c r="I1171" s="36"/>
      <c r="J1171" s="18"/>
      <c r="K1171" s="19"/>
    </row>
    <row r="1172" spans="2:11">
      <c r="B1172" s="4"/>
      <c r="C1172" s="6"/>
      <c r="D1172" s="7">
        <v>1</v>
      </c>
      <c r="E1172" s="8">
        <v>1.9</v>
      </c>
      <c r="F1172" s="8"/>
      <c r="G1172" s="8">
        <f t="shared" si="126"/>
        <v>3.25</v>
      </c>
      <c r="H1172" s="9">
        <f t="shared" si="125"/>
        <v>6.1749999999999998</v>
      </c>
      <c r="I1172" s="36"/>
      <c r="J1172" s="18"/>
      <c r="K1172" s="19"/>
    </row>
    <row r="1173" spans="2:11">
      <c r="B1173" s="4"/>
      <c r="C1173" s="6"/>
      <c r="D1173" s="7">
        <v>1</v>
      </c>
      <c r="E1173" s="8">
        <v>2.2999999999999998</v>
      </c>
      <c r="F1173" s="8"/>
      <c r="G1173" s="8">
        <f t="shared" si="126"/>
        <v>3.25</v>
      </c>
      <c r="H1173" s="9">
        <f t="shared" si="125"/>
        <v>7.4749999999999996</v>
      </c>
      <c r="I1173" s="36"/>
      <c r="J1173" s="18"/>
      <c r="K1173" s="19"/>
    </row>
    <row r="1174" spans="2:11">
      <c r="B1174" s="4"/>
      <c r="C1174" s="6" t="s">
        <v>447</v>
      </c>
      <c r="D1174" s="7">
        <v>1</v>
      </c>
      <c r="E1174" s="8">
        <v>4.4000000000000004</v>
      </c>
      <c r="F1174" s="8"/>
      <c r="G1174" s="8">
        <f>(4.27+3.8)/2-0.25-0.15</f>
        <v>3.6350000000000002</v>
      </c>
      <c r="H1174" s="9">
        <f t="shared" si="125"/>
        <v>15.994000000000002</v>
      </c>
      <c r="I1174" s="36"/>
      <c r="J1174" s="18"/>
      <c r="K1174" s="19"/>
    </row>
    <row r="1175" spans="2:11">
      <c r="B1175" s="4"/>
      <c r="C1175" s="6"/>
      <c r="D1175" s="7">
        <v>1</v>
      </c>
      <c r="E1175" s="8">
        <v>2.5</v>
      </c>
      <c r="F1175" s="8"/>
      <c r="G1175" s="8">
        <f>(4.55+4.3)/2-0.25-0.15</f>
        <v>4.0249999999999995</v>
      </c>
      <c r="H1175" s="9">
        <f t="shared" si="125"/>
        <v>10.062499999999998</v>
      </c>
      <c r="I1175" s="36"/>
      <c r="J1175" s="18"/>
      <c r="K1175" s="19"/>
    </row>
    <row r="1176" spans="2:11">
      <c r="B1176" s="4"/>
      <c r="C1176" s="6" t="s">
        <v>449</v>
      </c>
      <c r="D1176" s="7">
        <v>1</v>
      </c>
      <c r="E1176" s="8">
        <v>2.8</v>
      </c>
      <c r="F1176" s="8"/>
      <c r="G1176" s="8">
        <f>(3.95+3.66)/2-0.25-0.15</f>
        <v>3.4050000000000002</v>
      </c>
      <c r="H1176" s="9">
        <f t="shared" si="125"/>
        <v>9.5340000000000007</v>
      </c>
      <c r="I1176" s="36"/>
      <c r="J1176" s="18"/>
      <c r="K1176" s="19"/>
    </row>
    <row r="1177" spans="2:11">
      <c r="B1177" s="4"/>
      <c r="C1177" s="6"/>
      <c r="D1177" s="7">
        <v>1</v>
      </c>
      <c r="E1177" s="8">
        <v>1.2250000000000001</v>
      </c>
      <c r="F1177" s="8"/>
      <c r="G1177" s="8">
        <v>3.96</v>
      </c>
      <c r="H1177" s="9">
        <f t="shared" si="125"/>
        <v>4.851</v>
      </c>
      <c r="I1177" s="36"/>
      <c r="J1177" s="18"/>
      <c r="K1177" s="19"/>
    </row>
    <row r="1178" spans="2:11">
      <c r="B1178" s="4"/>
      <c r="C1178" s="6" t="s">
        <v>77</v>
      </c>
      <c r="D1178" s="7">
        <v>1</v>
      </c>
      <c r="E1178" s="8">
        <v>2.9</v>
      </c>
      <c r="F1178" s="8"/>
      <c r="G1178" s="8">
        <f>(3.95+3.66)/2-0.25-0.15</f>
        <v>3.4050000000000002</v>
      </c>
      <c r="H1178" s="9">
        <f t="shared" si="125"/>
        <v>9.8745000000000012</v>
      </c>
      <c r="I1178" s="36"/>
      <c r="J1178" s="18"/>
      <c r="K1178" s="19"/>
    </row>
    <row r="1179" spans="2:11">
      <c r="B1179" s="4"/>
      <c r="C1179" s="6"/>
      <c r="D1179" s="7">
        <v>1</v>
      </c>
      <c r="E1179" s="8">
        <v>1.23</v>
      </c>
      <c r="F1179" s="8"/>
      <c r="G1179" s="8">
        <f>3.96-2.1</f>
        <v>1.8599999999999999</v>
      </c>
      <c r="H1179" s="9">
        <f t="shared" si="125"/>
        <v>2.2877999999999998</v>
      </c>
      <c r="I1179" s="36"/>
      <c r="J1179" s="18" t="s">
        <v>528</v>
      </c>
      <c r="K1179" s="19"/>
    </row>
    <row r="1180" spans="2:11">
      <c r="B1180" s="4"/>
      <c r="C1180" s="6" t="s">
        <v>82</v>
      </c>
      <c r="D1180" s="7">
        <v>1</v>
      </c>
      <c r="E1180" s="8">
        <v>2.8</v>
      </c>
      <c r="F1180" s="8"/>
      <c r="G1180" s="8">
        <f>(3.76+3.65)/2-0.25-0.15</f>
        <v>3.3050000000000002</v>
      </c>
      <c r="H1180" s="9">
        <f t="shared" si="125"/>
        <v>9.2539999999999996</v>
      </c>
      <c r="I1180" s="36"/>
      <c r="J1180" s="18"/>
      <c r="K1180" s="19"/>
    </row>
    <row r="1181" spans="2:11">
      <c r="B1181" s="4"/>
      <c r="C1181" s="6"/>
      <c r="D1181" s="7">
        <v>1</v>
      </c>
      <c r="E1181" s="8">
        <v>2.5</v>
      </c>
      <c r="F1181" s="8"/>
      <c r="G1181" s="8">
        <f>(4.54+4.29)/2-0.25-0.15</f>
        <v>4.0149999999999997</v>
      </c>
      <c r="H1181" s="9">
        <f t="shared" si="125"/>
        <v>10.0375</v>
      </c>
      <c r="I1181" s="36"/>
      <c r="J1181" s="18"/>
      <c r="K1181" s="19"/>
    </row>
    <row r="1182" spans="2:11">
      <c r="B1182" s="4"/>
      <c r="C1182" s="6"/>
      <c r="D1182" s="7">
        <v>1</v>
      </c>
      <c r="E1182" s="8">
        <v>4.47</v>
      </c>
      <c r="F1182" s="8"/>
      <c r="G1182" s="8">
        <f>(3.95+3.66)/2-0.25-0.15</f>
        <v>3.4050000000000002</v>
      </c>
      <c r="H1182" s="9">
        <f t="shared" si="125"/>
        <v>15.22035</v>
      </c>
      <c r="I1182" s="36"/>
      <c r="J1182" s="18"/>
      <c r="K1182" s="19"/>
    </row>
    <row r="1183" spans="2:11">
      <c r="B1183" s="4"/>
      <c r="C1183" s="6" t="s">
        <v>452</v>
      </c>
      <c r="D1183" s="7">
        <v>1</v>
      </c>
      <c r="E1183" s="8">
        <v>3</v>
      </c>
      <c r="F1183" s="8"/>
      <c r="G1183" s="8">
        <f>(3.76+3.65)/2-0.25-0.15</f>
        <v>3.3050000000000002</v>
      </c>
      <c r="H1183" s="9">
        <f t="shared" si="125"/>
        <v>9.9150000000000009</v>
      </c>
      <c r="I1183" s="36"/>
      <c r="J1183" s="18"/>
      <c r="K1183" s="19"/>
    </row>
    <row r="1184" spans="2:11">
      <c r="B1184" s="4"/>
      <c r="C1184" s="6"/>
      <c r="D1184" s="7">
        <v>1</v>
      </c>
      <c r="E1184" s="8">
        <v>1.3</v>
      </c>
      <c r="F1184" s="8"/>
      <c r="G1184" s="8">
        <f>(4.54+4.29)/2-0.25-0.15+0.41</f>
        <v>4.4249999999999998</v>
      </c>
      <c r="H1184" s="9">
        <f t="shared" si="125"/>
        <v>5.7525000000000004</v>
      </c>
      <c r="I1184" s="36"/>
      <c r="J1184" s="18"/>
      <c r="K1184" s="19"/>
    </row>
    <row r="1185" spans="2:11">
      <c r="B1185" s="4"/>
      <c r="C1185" s="6"/>
      <c r="D1185" s="7">
        <v>1</v>
      </c>
      <c r="E1185" s="8">
        <v>1.2</v>
      </c>
      <c r="F1185" s="8"/>
      <c r="G1185" s="8">
        <f>(4.54+4.29)/2-0.25-0.15+0.41-2.1</f>
        <v>2.3249999999999997</v>
      </c>
      <c r="H1185" s="9">
        <f t="shared" si="125"/>
        <v>2.7899999999999996</v>
      </c>
      <c r="I1185" s="36"/>
      <c r="J1185" s="18" t="s">
        <v>529</v>
      </c>
      <c r="K1185" s="19"/>
    </row>
    <row r="1186" spans="2:11">
      <c r="B1186" s="4"/>
      <c r="C1186" s="6"/>
      <c r="D1186" s="7">
        <v>1</v>
      </c>
      <c r="E1186" s="8">
        <v>4.49</v>
      </c>
      <c r="F1186" s="8"/>
      <c r="G1186" s="8">
        <f>(3.95+3.66)/2-0.25-0.15</f>
        <v>3.4050000000000002</v>
      </c>
      <c r="H1186" s="9">
        <f t="shared" si="125"/>
        <v>15.288450000000001</v>
      </c>
      <c r="I1186" s="36"/>
      <c r="J1186" s="18"/>
      <c r="K1186" s="19"/>
    </row>
    <row r="1187" spans="2:11">
      <c r="B1187" s="4"/>
      <c r="C1187" s="6" t="s">
        <v>87</v>
      </c>
      <c r="D1187" s="7">
        <v>1</v>
      </c>
      <c r="E1187" s="8">
        <v>2.8</v>
      </c>
      <c r="F1187" s="8"/>
      <c r="G1187" s="8">
        <f>(3.76+3.65)/2-0.25-0.15</f>
        <v>3.3050000000000002</v>
      </c>
      <c r="H1187" s="9">
        <f t="shared" si="125"/>
        <v>9.2539999999999996</v>
      </c>
      <c r="I1187" s="36"/>
      <c r="J1187" s="18"/>
      <c r="K1187" s="19"/>
    </row>
    <row r="1188" spans="2:11">
      <c r="B1188" s="4"/>
      <c r="C1188" s="6" t="s">
        <v>88</v>
      </c>
      <c r="D1188" s="7">
        <v>1</v>
      </c>
      <c r="E1188" s="8">
        <v>2.8</v>
      </c>
      <c r="F1188" s="8"/>
      <c r="G1188" s="8">
        <f>(3.76+3.65)/2-0.25-0.15</f>
        <v>3.3050000000000002</v>
      </c>
      <c r="H1188" s="9">
        <f t="shared" si="125"/>
        <v>9.2539999999999996</v>
      </c>
      <c r="I1188" s="36"/>
      <c r="J1188" s="18"/>
      <c r="K1188" s="19"/>
    </row>
    <row r="1189" spans="2:11">
      <c r="B1189" s="4"/>
      <c r="C1189" s="6"/>
      <c r="D1189" s="7">
        <v>1</v>
      </c>
      <c r="E1189" s="8">
        <v>0.7</v>
      </c>
      <c r="F1189" s="8"/>
      <c r="G1189" s="8">
        <f>3.5-0.15</f>
        <v>3.35</v>
      </c>
      <c r="H1189" s="9">
        <f t="shared" si="125"/>
        <v>2.3449999999999998</v>
      </c>
      <c r="I1189" s="36"/>
      <c r="J1189" s="18"/>
      <c r="K1189" s="19"/>
    </row>
    <row r="1190" spans="2:11">
      <c r="B1190" s="4"/>
      <c r="C1190" s="6"/>
      <c r="D1190" s="7">
        <v>1</v>
      </c>
      <c r="E1190" s="8">
        <v>1</v>
      </c>
      <c r="F1190" s="8"/>
      <c r="G1190" s="8">
        <f>3.5-0.15</f>
        <v>3.35</v>
      </c>
      <c r="H1190" s="9">
        <f t="shared" si="125"/>
        <v>3.35</v>
      </c>
      <c r="I1190" s="36"/>
      <c r="J1190" s="18"/>
      <c r="K1190" s="19"/>
    </row>
    <row r="1191" spans="2:11">
      <c r="B1191" s="4"/>
      <c r="C1191" s="6"/>
      <c r="D1191" s="7">
        <v>1</v>
      </c>
      <c r="E1191" s="8">
        <v>4.5199999999999996</v>
      </c>
      <c r="F1191" s="8"/>
      <c r="G1191" s="8">
        <f>(3.95+3.66)/2-0.25-0.15</f>
        <v>3.4050000000000002</v>
      </c>
      <c r="H1191" s="9">
        <f t="shared" si="125"/>
        <v>15.390599999999999</v>
      </c>
      <c r="I1191" s="36"/>
      <c r="J1191" s="18"/>
      <c r="K1191" s="19"/>
    </row>
    <row r="1192" spans="2:11">
      <c r="B1192" s="4"/>
      <c r="C1192" s="6"/>
      <c r="D1192" s="7">
        <v>1</v>
      </c>
      <c r="E1192" s="8">
        <v>0.8</v>
      </c>
      <c r="F1192" s="8"/>
      <c r="G1192" s="8">
        <f>3.5-0.15</f>
        <v>3.35</v>
      </c>
      <c r="H1192" s="9">
        <f t="shared" si="125"/>
        <v>2.68</v>
      </c>
      <c r="I1192" s="36"/>
      <c r="J1192" s="18" t="s">
        <v>530</v>
      </c>
      <c r="K1192" s="19"/>
    </row>
    <row r="1193" spans="2:11">
      <c r="B1193" s="4"/>
      <c r="C1193" s="6"/>
      <c r="D1193" s="7">
        <v>1</v>
      </c>
      <c r="E1193" s="8">
        <v>1.5</v>
      </c>
      <c r="F1193" s="8"/>
      <c r="G1193" s="8">
        <f>3.5-0.15</f>
        <v>3.35</v>
      </c>
      <c r="H1193" s="9">
        <f t="shared" si="125"/>
        <v>5.0250000000000004</v>
      </c>
      <c r="I1193" s="36"/>
      <c r="J1193" s="18" t="s">
        <v>531</v>
      </c>
      <c r="K1193" s="19"/>
    </row>
    <row r="1194" spans="2:11">
      <c r="B1194" s="4"/>
      <c r="C1194" s="6"/>
      <c r="D1194" s="7">
        <v>1</v>
      </c>
      <c r="E1194" s="8">
        <v>1.8</v>
      </c>
      <c r="F1194" s="8"/>
      <c r="G1194" s="8">
        <f>(3.95+3.66)/2-0.25-0.15-2.1</f>
        <v>1.3050000000000002</v>
      </c>
      <c r="H1194" s="9">
        <f t="shared" si="125"/>
        <v>2.3490000000000002</v>
      </c>
      <c r="I1194" s="36"/>
      <c r="J1194" s="18" t="s">
        <v>146</v>
      </c>
      <c r="K1194" s="19"/>
    </row>
    <row r="1195" spans="2:11">
      <c r="B1195" s="4"/>
      <c r="C1195" s="6"/>
      <c r="D1195" s="7">
        <v>1</v>
      </c>
      <c r="E1195" s="8">
        <v>1.5</v>
      </c>
      <c r="F1195" s="8"/>
      <c r="G1195" s="8">
        <v>3.96</v>
      </c>
      <c r="H1195" s="9">
        <f t="shared" si="125"/>
        <v>5.9399999999999995</v>
      </c>
      <c r="I1195" s="36"/>
      <c r="J1195" s="18" t="s">
        <v>525</v>
      </c>
      <c r="K1195" s="19"/>
    </row>
    <row r="1196" spans="2:11">
      <c r="B1196" s="4"/>
      <c r="C1196" s="6"/>
      <c r="D1196" s="7">
        <v>1</v>
      </c>
      <c r="E1196" s="8">
        <v>2.2999999999999998</v>
      </c>
      <c r="F1196" s="8"/>
      <c r="G1196" s="8">
        <f>3.76-0.25</f>
        <v>3.51</v>
      </c>
      <c r="H1196" s="9">
        <f t="shared" si="125"/>
        <v>8.0729999999999986</v>
      </c>
      <c r="I1196" s="36"/>
      <c r="J1196" s="18" t="s">
        <v>528</v>
      </c>
      <c r="K1196" s="19"/>
    </row>
    <row r="1197" spans="2:11">
      <c r="B1197" s="4"/>
      <c r="C1197" t="s">
        <v>516</v>
      </c>
      <c r="D1197" s="7">
        <v>4</v>
      </c>
      <c r="E1197" s="8">
        <v>1.2</v>
      </c>
      <c r="F1197" s="8"/>
      <c r="G1197" s="8">
        <v>1.45</v>
      </c>
      <c r="H1197" s="9">
        <f t="shared" si="125"/>
        <v>6.96</v>
      </c>
      <c r="I1197" s="36"/>
      <c r="J1197" s="18"/>
      <c r="K1197" s="19"/>
    </row>
    <row r="1198" spans="2:11">
      <c r="B1198" s="4"/>
      <c r="C1198" s="6"/>
      <c r="D1198" s="7">
        <v>4</v>
      </c>
      <c r="E1198" s="8">
        <v>1.2</v>
      </c>
      <c r="F1198" s="8"/>
      <c r="G1198" s="8">
        <v>1.45</v>
      </c>
      <c r="H1198" s="9">
        <f t="shared" si="125"/>
        <v>6.96</v>
      </c>
      <c r="I1198" s="36"/>
      <c r="J1198" s="18"/>
      <c r="K1198" s="19"/>
    </row>
    <row r="1199" spans="2:11" ht="15" thickBot="1">
      <c r="B1199" s="4"/>
      <c r="C1199" s="6"/>
      <c r="D1199" s="7"/>
      <c r="E1199" s="8"/>
      <c r="F1199" s="8"/>
      <c r="G1199" s="8"/>
      <c r="H1199" s="9"/>
      <c r="I1199" s="36"/>
      <c r="J1199" s="18"/>
      <c r="K1199" s="19"/>
    </row>
    <row r="1200" spans="2:11" ht="15" thickBot="1">
      <c r="B1200" s="4"/>
      <c r="C1200" s="31" t="s">
        <v>651</v>
      </c>
      <c r="D1200" s="7"/>
      <c r="E1200" s="8"/>
      <c r="F1200" s="8"/>
      <c r="G1200" s="8"/>
      <c r="H1200" s="9"/>
      <c r="I1200" s="136">
        <f>SUM(H1201:H1202)</f>
        <v>6.5129999999999999</v>
      </c>
      <c r="J1200" s="18" t="s">
        <v>19</v>
      </c>
      <c r="K1200" s="19"/>
    </row>
    <row r="1201" spans="2:11">
      <c r="B1201" s="4"/>
      <c r="C1201" s="6"/>
      <c r="D1201" s="7">
        <v>1</v>
      </c>
      <c r="E1201" s="8">
        <v>1.95</v>
      </c>
      <c r="F1201" s="8"/>
      <c r="G1201" s="8">
        <f>3.94-0.15-0.25-0.2</f>
        <v>3.34</v>
      </c>
      <c r="H1201" s="9">
        <f t="shared" ref="H1201" si="127">PRODUCT(D1201:G1201)</f>
        <v>6.5129999999999999</v>
      </c>
      <c r="I1201" s="36"/>
      <c r="J1201" s="18"/>
      <c r="K1201" s="19"/>
    </row>
    <row r="1202" spans="2:11">
      <c r="B1202" s="4"/>
      <c r="C1202" s="6"/>
      <c r="D1202" s="7"/>
      <c r="E1202" s="8"/>
      <c r="F1202" s="8"/>
      <c r="G1202" s="8"/>
      <c r="H1202" s="9"/>
      <c r="I1202" s="36"/>
      <c r="J1202" s="18"/>
      <c r="K1202" s="19"/>
    </row>
    <row r="1203" spans="2:11" ht="15" thickBot="1">
      <c r="B1203" s="4">
        <v>21</v>
      </c>
      <c r="C1203" s="197" t="s">
        <v>8</v>
      </c>
      <c r="D1203" s="198"/>
      <c r="E1203" s="198"/>
      <c r="F1203" s="198"/>
      <c r="G1203" s="198"/>
      <c r="H1203" s="194"/>
      <c r="I1203" s="128"/>
      <c r="J1203" s="5"/>
      <c r="K1203" s="5"/>
    </row>
    <row r="1204" spans="2:11" ht="15" thickBot="1">
      <c r="B1204" s="4"/>
      <c r="C1204" s="26" t="s">
        <v>33</v>
      </c>
      <c r="D1204" s="7"/>
      <c r="E1204" s="8"/>
      <c r="F1204" s="8"/>
      <c r="G1204" s="9"/>
      <c r="H1204" s="129"/>
      <c r="I1204" s="136">
        <f>SUM(H1205:H1210)</f>
        <v>22.32</v>
      </c>
      <c r="J1204" s="130" t="s">
        <v>19</v>
      </c>
      <c r="K1204" s="19"/>
    </row>
    <row r="1205" spans="2:11">
      <c r="B1205" s="4"/>
      <c r="C1205" s="33" t="s">
        <v>107</v>
      </c>
      <c r="D1205" s="7">
        <v>1</v>
      </c>
      <c r="E1205" s="8">
        <v>9.3000000000000007</v>
      </c>
      <c r="F1205" s="8"/>
      <c r="G1205" s="8">
        <v>1.2</v>
      </c>
      <c r="H1205" s="9">
        <f>PRODUCT(D1205:G1205)</f>
        <v>11.16</v>
      </c>
      <c r="I1205" s="137"/>
      <c r="J1205" s="18"/>
      <c r="K1205" s="19"/>
    </row>
    <row r="1206" spans="2:11">
      <c r="B1206" s="4"/>
      <c r="C1206" s="33"/>
      <c r="D1206" s="7"/>
      <c r="E1206" s="8"/>
      <c r="F1206" s="8"/>
      <c r="G1206" s="8"/>
      <c r="H1206" s="9"/>
      <c r="I1206" s="138"/>
      <c r="J1206" s="18"/>
      <c r="K1206" s="19"/>
    </row>
    <row r="1207" spans="2:11">
      <c r="B1207" s="4"/>
      <c r="C1207" s="33"/>
      <c r="D1207" s="7"/>
      <c r="E1207" s="8"/>
      <c r="F1207" s="8"/>
      <c r="G1207" s="8"/>
      <c r="H1207" s="9"/>
      <c r="I1207" s="138"/>
      <c r="J1207" s="18"/>
      <c r="K1207" s="19"/>
    </row>
    <row r="1208" spans="2:11">
      <c r="B1208" s="4"/>
      <c r="C1208" s="33" t="s">
        <v>108</v>
      </c>
      <c r="D1208" s="7">
        <v>1</v>
      </c>
      <c r="E1208" s="8">
        <v>9.3000000000000007</v>
      </c>
      <c r="F1208" s="8"/>
      <c r="G1208" s="8">
        <v>1.2</v>
      </c>
      <c r="H1208" s="9">
        <f>PRODUCT(D1208:G1208)</f>
        <v>11.16</v>
      </c>
      <c r="I1208" s="138"/>
      <c r="J1208" s="18"/>
      <c r="K1208" s="19"/>
    </row>
    <row r="1209" spans="2:11">
      <c r="B1209" s="4"/>
      <c r="C1209" s="33"/>
      <c r="D1209" s="7"/>
      <c r="E1209" s="8"/>
      <c r="F1209" s="8"/>
      <c r="G1209" s="8"/>
      <c r="H1209" s="9"/>
      <c r="I1209" s="138"/>
      <c r="J1209" s="18"/>
      <c r="K1209" s="19"/>
    </row>
    <row r="1210" spans="2:11">
      <c r="B1210" s="4"/>
      <c r="D1210" s="7"/>
      <c r="E1210" s="8"/>
      <c r="F1210" s="8"/>
      <c r="G1210" s="8"/>
      <c r="H1210" s="9"/>
      <c r="I1210" s="138"/>
      <c r="J1210" s="18"/>
      <c r="K1210" s="19"/>
    </row>
    <row r="1211" spans="2:11" ht="15" thickBot="1">
      <c r="B1211" s="4"/>
      <c r="C1211" s="26" t="s">
        <v>532</v>
      </c>
      <c r="D1211" s="7"/>
      <c r="E1211" s="8"/>
      <c r="F1211" s="8"/>
      <c r="G1211" s="9"/>
      <c r="H1211" s="19"/>
      <c r="I1211" s="139"/>
      <c r="J1211" s="18"/>
      <c r="K1211" s="19"/>
    </row>
    <row r="1212" spans="2:11" ht="15" thickBot="1">
      <c r="B1212" s="4"/>
      <c r="C1212" s="26"/>
      <c r="D1212" s="7"/>
      <c r="E1212" s="8"/>
      <c r="F1212" s="8"/>
      <c r="G1212" s="9"/>
      <c r="H1212" s="129"/>
      <c r="I1212" s="136">
        <f>SUM(H1215:H1364)</f>
        <v>773.19590000000051</v>
      </c>
      <c r="J1212" s="130" t="s">
        <v>19</v>
      </c>
      <c r="K1212" s="19"/>
    </row>
    <row r="1213" spans="2:11">
      <c r="B1213" s="4"/>
      <c r="C1213" s="26"/>
      <c r="D1213" s="7"/>
      <c r="E1213" s="8"/>
      <c r="F1213" s="8"/>
      <c r="G1213" s="9"/>
      <c r="H1213" s="129"/>
      <c r="I1213" s="138"/>
      <c r="J1213" s="130"/>
      <c r="K1213" s="19"/>
    </row>
    <row r="1214" spans="2:11">
      <c r="B1214" s="4"/>
      <c r="C1214" s="21" t="s">
        <v>132</v>
      </c>
      <c r="D1214" s="7"/>
      <c r="E1214" s="8"/>
      <c r="F1214" s="8"/>
      <c r="G1214" s="8"/>
      <c r="H1214" s="9"/>
      <c r="I1214" s="10"/>
      <c r="J1214" s="18"/>
      <c r="K1214" s="19"/>
    </row>
    <row r="1215" spans="2:11">
      <c r="B1215" s="4"/>
      <c r="C1215" s="40" t="s">
        <v>435</v>
      </c>
      <c r="D1215" s="7">
        <v>1</v>
      </c>
      <c r="E1215" s="8">
        <v>4.1500000000000004</v>
      </c>
      <c r="F1215" s="8"/>
      <c r="G1215" s="8">
        <f>3.65</f>
        <v>3.65</v>
      </c>
      <c r="H1215" s="9">
        <f>PRODUCT(D1215:G1215)</f>
        <v>15.147500000000001</v>
      </c>
      <c r="I1215" s="36"/>
      <c r="J1215" s="18" t="s">
        <v>533</v>
      </c>
      <c r="K1215" s="19"/>
    </row>
    <row r="1216" spans="2:11">
      <c r="B1216" s="4"/>
      <c r="C1216" s="6"/>
      <c r="D1216" s="7">
        <v>1</v>
      </c>
      <c r="E1216" s="8">
        <v>4.05</v>
      </c>
      <c r="F1216" s="8"/>
      <c r="G1216" s="8">
        <f>3.65</f>
        <v>3.65</v>
      </c>
      <c r="H1216" s="9">
        <f t="shared" ref="H1216:H1264" si="128">PRODUCT(D1216:G1216)</f>
        <v>14.782499999999999</v>
      </c>
      <c r="I1216" s="36"/>
      <c r="J1216" s="18"/>
      <c r="K1216" s="19"/>
    </row>
    <row r="1217" spans="2:11">
      <c r="B1217" s="4"/>
      <c r="C1217" s="6"/>
      <c r="D1217" s="7">
        <v>1</v>
      </c>
      <c r="E1217" s="8">
        <v>3.35</v>
      </c>
      <c r="F1217" s="8"/>
      <c r="G1217" s="8">
        <f>3.65</f>
        <v>3.65</v>
      </c>
      <c r="H1217" s="9">
        <f t="shared" si="128"/>
        <v>12.227499999999999</v>
      </c>
      <c r="I1217" s="36"/>
      <c r="J1217" s="18"/>
      <c r="K1217" s="19"/>
    </row>
    <row r="1218" spans="2:11">
      <c r="B1218" s="4"/>
      <c r="C1218" s="6"/>
      <c r="D1218" s="7">
        <v>1</v>
      </c>
      <c r="E1218" s="8">
        <v>2.9</v>
      </c>
      <c r="F1218" s="8"/>
      <c r="G1218" s="8">
        <f>3.05</f>
        <v>3.05</v>
      </c>
      <c r="H1218" s="9">
        <f t="shared" si="128"/>
        <v>8.8449999999999989</v>
      </c>
      <c r="I1218" s="36"/>
      <c r="J1218" s="18"/>
      <c r="K1218" s="19"/>
    </row>
    <row r="1219" spans="2:11">
      <c r="B1219" s="4"/>
      <c r="C1219" s="6" t="s">
        <v>93</v>
      </c>
      <c r="D1219" s="7">
        <v>2</v>
      </c>
      <c r="E1219" s="8">
        <v>1.35</v>
      </c>
      <c r="F1219" s="8"/>
      <c r="G1219" s="8">
        <f>3.5</f>
        <v>3.5</v>
      </c>
      <c r="H1219" s="9">
        <f t="shared" si="128"/>
        <v>9.4500000000000011</v>
      </c>
      <c r="I1219" s="36"/>
      <c r="J1219" s="18"/>
      <c r="K1219" s="19"/>
    </row>
    <row r="1220" spans="2:11">
      <c r="B1220" s="4"/>
      <c r="C1220" s="6"/>
      <c r="D1220" s="7">
        <v>2</v>
      </c>
      <c r="E1220" s="8">
        <v>2.52</v>
      </c>
      <c r="F1220" s="8"/>
      <c r="G1220" s="8">
        <v>1.9</v>
      </c>
      <c r="H1220" s="9">
        <f t="shared" si="128"/>
        <v>9.5759999999999987</v>
      </c>
      <c r="I1220" s="36"/>
      <c r="J1220" s="18" t="s">
        <v>524</v>
      </c>
      <c r="K1220" s="19"/>
    </row>
    <row r="1221" spans="2:11">
      <c r="B1221" s="4"/>
      <c r="C1221" s="6" t="s">
        <v>92</v>
      </c>
      <c r="D1221" s="7">
        <v>2</v>
      </c>
      <c r="E1221" s="8">
        <v>4.1500000000000004</v>
      </c>
      <c r="F1221" s="8"/>
      <c r="G1221" s="8">
        <f>4.75-0.15-0.25-0.2</f>
        <v>4.1499999999999995</v>
      </c>
      <c r="H1221" s="9">
        <f t="shared" si="128"/>
        <v>34.445</v>
      </c>
      <c r="I1221" s="36"/>
      <c r="J1221" s="18"/>
      <c r="K1221" s="19"/>
    </row>
    <row r="1222" spans="2:11">
      <c r="B1222" s="4"/>
      <c r="C1222" s="6"/>
      <c r="D1222" s="7">
        <v>2</v>
      </c>
      <c r="E1222" s="8">
        <v>2</v>
      </c>
      <c r="F1222" s="8"/>
      <c r="G1222" s="8">
        <f>4.75-0.15-0.25-0.2</f>
        <v>4.1499999999999995</v>
      </c>
      <c r="H1222" s="9">
        <f t="shared" si="128"/>
        <v>16.599999999999998</v>
      </c>
      <c r="I1222" s="36"/>
      <c r="J1222" s="18"/>
      <c r="K1222" s="19"/>
    </row>
    <row r="1223" spans="2:11">
      <c r="B1223" s="4"/>
      <c r="C1223" s="6"/>
      <c r="D1223" s="7">
        <v>2</v>
      </c>
      <c r="E1223" s="8">
        <f>0.75+0.55</f>
        <v>1.3</v>
      </c>
      <c r="F1223" s="8"/>
      <c r="G1223" s="8">
        <f>4.75-0.15-0.25-0.2</f>
        <v>4.1499999999999995</v>
      </c>
      <c r="H1223" s="9">
        <f t="shared" si="128"/>
        <v>10.79</v>
      </c>
      <c r="I1223" s="36"/>
      <c r="J1223" s="18"/>
      <c r="K1223" s="19"/>
    </row>
    <row r="1224" spans="2:11">
      <c r="B1224" s="4"/>
      <c r="D1224" s="7">
        <v>2</v>
      </c>
      <c r="E1224" s="8">
        <v>1.5</v>
      </c>
      <c r="F1224" s="8"/>
      <c r="G1224" s="8">
        <f>4.75-0.15-0.25-0.2-2.1</f>
        <v>2.0499999999999994</v>
      </c>
      <c r="H1224" s="9">
        <f t="shared" si="128"/>
        <v>6.1499999999999986</v>
      </c>
      <c r="I1224" s="36"/>
      <c r="J1224" s="18" t="s">
        <v>525</v>
      </c>
      <c r="K1224" s="19"/>
    </row>
    <row r="1225" spans="2:11">
      <c r="B1225" s="4"/>
      <c r="C1225" s="6"/>
      <c r="D1225" s="7">
        <v>2</v>
      </c>
      <c r="E1225" s="8">
        <v>3.35</v>
      </c>
      <c r="F1225" s="8"/>
      <c r="G1225" s="8">
        <f>4.75-0.15-0.25-0.2</f>
        <v>4.1499999999999995</v>
      </c>
      <c r="H1225" s="9">
        <f t="shared" si="128"/>
        <v>27.804999999999996</v>
      </c>
      <c r="I1225" s="36"/>
      <c r="J1225" s="18"/>
      <c r="K1225" s="19"/>
    </row>
    <row r="1226" spans="2:11">
      <c r="B1226" s="4"/>
      <c r="C1226" s="6"/>
      <c r="D1226" s="7">
        <v>2</v>
      </c>
      <c r="E1226" s="8">
        <v>1.95</v>
      </c>
      <c r="F1226" s="8"/>
      <c r="G1226" s="8">
        <f>3.94-0.15-0.25-0.2</f>
        <v>3.34</v>
      </c>
      <c r="H1226" s="9">
        <f t="shared" si="128"/>
        <v>13.026</v>
      </c>
      <c r="I1226" s="36"/>
      <c r="J1226" s="18"/>
      <c r="K1226" s="19"/>
    </row>
    <row r="1227" spans="2:11">
      <c r="B1227" s="4"/>
      <c r="C1227" s="6"/>
      <c r="D1227" s="7">
        <v>2</v>
      </c>
      <c r="E1227" s="8">
        <v>2.52</v>
      </c>
      <c r="F1227" s="8"/>
      <c r="G1227" s="8">
        <v>1.9</v>
      </c>
      <c r="H1227" s="9">
        <f t="shared" si="128"/>
        <v>9.5759999999999987</v>
      </c>
      <c r="I1227" s="36"/>
      <c r="J1227" s="18"/>
      <c r="K1227" s="19"/>
    </row>
    <row r="1228" spans="2:11">
      <c r="B1228" s="4"/>
      <c r="C1228" s="6" t="s">
        <v>91</v>
      </c>
      <c r="D1228" s="7">
        <v>2</v>
      </c>
      <c r="E1228" s="8">
        <v>2.9</v>
      </c>
      <c r="F1228" s="8"/>
      <c r="G1228" s="8">
        <f>4.16-0.2-0.15-0.25</f>
        <v>3.56</v>
      </c>
      <c r="H1228" s="9">
        <f t="shared" si="128"/>
        <v>20.648</v>
      </c>
      <c r="I1228" s="36"/>
      <c r="J1228" s="18"/>
      <c r="K1228" s="19"/>
    </row>
    <row r="1229" spans="2:11">
      <c r="B1229" s="4"/>
      <c r="C1229" s="6" t="s">
        <v>90</v>
      </c>
      <c r="D1229" s="7">
        <v>2</v>
      </c>
      <c r="E1229" s="8">
        <v>1.1000000000000001</v>
      </c>
      <c r="F1229" s="8"/>
      <c r="G1229" s="8">
        <f>3.76-0.25</f>
        <v>3.51</v>
      </c>
      <c r="H1229" s="9">
        <f t="shared" si="128"/>
        <v>7.7220000000000004</v>
      </c>
      <c r="I1229" s="36"/>
      <c r="J1229" s="18"/>
      <c r="K1229" s="19"/>
    </row>
    <row r="1230" spans="2:11">
      <c r="B1230" s="4"/>
      <c r="C1230" s="6"/>
      <c r="D1230" s="7">
        <v>2</v>
      </c>
      <c r="E1230" s="8">
        <v>0.9</v>
      </c>
      <c r="F1230" s="8"/>
      <c r="G1230" s="8">
        <f>3.76-0.25-2.1</f>
        <v>1.4099999999999997</v>
      </c>
      <c r="H1230" s="9">
        <f t="shared" si="128"/>
        <v>2.5379999999999994</v>
      </c>
      <c r="I1230" s="36"/>
      <c r="J1230" s="18" t="s">
        <v>526</v>
      </c>
      <c r="K1230" s="19"/>
    </row>
    <row r="1231" spans="2:11">
      <c r="B1231" s="4"/>
      <c r="C1231" s="6"/>
      <c r="D1231" s="7">
        <v>2</v>
      </c>
      <c r="E1231" s="8">
        <v>0.9</v>
      </c>
      <c r="F1231" s="8"/>
      <c r="G1231" s="8">
        <f>3.76-0.25</f>
        <v>3.51</v>
      </c>
      <c r="H1231" s="9">
        <f t="shared" si="128"/>
        <v>6.3179999999999996</v>
      </c>
      <c r="I1231" s="36"/>
      <c r="J1231" s="18"/>
      <c r="K1231" s="19"/>
    </row>
    <row r="1232" spans="2:11">
      <c r="B1232" s="4"/>
      <c r="C1232" s="6"/>
      <c r="D1232" s="7">
        <v>2</v>
      </c>
      <c r="E1232" s="8">
        <v>1</v>
      </c>
      <c r="F1232" s="8"/>
      <c r="G1232" s="8">
        <f>3.76-0.25-2.1</f>
        <v>1.4099999999999997</v>
      </c>
      <c r="H1232" s="9">
        <f t="shared" si="128"/>
        <v>2.8199999999999994</v>
      </c>
      <c r="I1232" s="36"/>
      <c r="J1232" s="18" t="s">
        <v>527</v>
      </c>
      <c r="K1232" s="19"/>
    </row>
    <row r="1233" spans="2:11">
      <c r="B1233" s="4"/>
      <c r="C1233" s="6"/>
      <c r="D1233" s="7">
        <v>2</v>
      </c>
      <c r="E1233" s="8">
        <v>0.9</v>
      </c>
      <c r="F1233" s="8"/>
      <c r="G1233" s="8">
        <f>3.76-0.25</f>
        <v>3.51</v>
      </c>
      <c r="H1233" s="9">
        <f t="shared" si="128"/>
        <v>6.3179999999999996</v>
      </c>
      <c r="I1233" s="36"/>
      <c r="J1233" s="18"/>
      <c r="K1233" s="19"/>
    </row>
    <row r="1234" spans="2:11">
      <c r="B1234" s="4"/>
      <c r="C1234" s="6"/>
      <c r="D1234" s="7">
        <v>2</v>
      </c>
      <c r="E1234" s="8">
        <v>1</v>
      </c>
      <c r="F1234" s="8"/>
      <c r="G1234" s="8">
        <f>3.76-0.25-2.1</f>
        <v>1.4099999999999997</v>
      </c>
      <c r="H1234" s="9">
        <f t="shared" si="128"/>
        <v>2.8199999999999994</v>
      </c>
      <c r="I1234" s="36"/>
      <c r="J1234" s="18" t="s">
        <v>527</v>
      </c>
      <c r="K1234" s="19"/>
    </row>
    <row r="1235" spans="2:11">
      <c r="B1235" s="4"/>
      <c r="C1235" s="40" t="s">
        <v>89</v>
      </c>
      <c r="D1235" s="7">
        <v>1</v>
      </c>
      <c r="E1235" s="8">
        <v>2.9</v>
      </c>
      <c r="F1235" s="8"/>
      <c r="G1235" s="8">
        <f>3.5-0.25</f>
        <v>3.25</v>
      </c>
      <c r="H1235" s="9">
        <f t="shared" si="128"/>
        <v>9.4249999999999989</v>
      </c>
      <c r="I1235" s="36"/>
      <c r="J1235" s="18"/>
      <c r="K1235" s="19"/>
    </row>
    <row r="1236" spans="2:11">
      <c r="B1236" s="4"/>
      <c r="C1236" s="6"/>
      <c r="D1236" s="7">
        <v>1</v>
      </c>
      <c r="E1236" s="8">
        <v>1.9</v>
      </c>
      <c r="F1236" s="8"/>
      <c r="G1236" s="8">
        <f t="shared" ref="G1236:G1239" si="129">3.5-0.25</f>
        <v>3.25</v>
      </c>
      <c r="H1236" s="9">
        <f t="shared" si="128"/>
        <v>6.1749999999999998</v>
      </c>
      <c r="I1236" s="36"/>
      <c r="J1236" s="18"/>
      <c r="K1236" s="19"/>
    </row>
    <row r="1237" spans="2:11">
      <c r="B1237" s="4"/>
      <c r="C1237" s="40"/>
      <c r="D1237" s="7">
        <v>1</v>
      </c>
      <c r="E1237" s="8">
        <v>1.9</v>
      </c>
      <c r="F1237" s="8"/>
      <c r="G1237" s="8">
        <f t="shared" si="129"/>
        <v>3.25</v>
      </c>
      <c r="H1237" s="9">
        <f t="shared" si="128"/>
        <v>6.1749999999999998</v>
      </c>
      <c r="I1237" s="36"/>
      <c r="J1237" s="18"/>
      <c r="K1237" s="19"/>
    </row>
    <row r="1238" spans="2:11">
      <c r="B1238" s="4"/>
      <c r="C1238" s="40"/>
      <c r="D1238" s="7">
        <v>1</v>
      </c>
      <c r="E1238" s="8">
        <v>1.9</v>
      </c>
      <c r="F1238" s="8"/>
      <c r="G1238" s="8">
        <f t="shared" si="129"/>
        <v>3.25</v>
      </c>
      <c r="H1238" s="9">
        <f t="shared" si="128"/>
        <v>6.1749999999999998</v>
      </c>
      <c r="I1238" s="36"/>
      <c r="J1238" s="18"/>
      <c r="K1238" s="19"/>
    </row>
    <row r="1239" spans="2:11">
      <c r="B1239" s="4"/>
      <c r="C1239" s="40"/>
      <c r="D1239" s="7">
        <v>1</v>
      </c>
      <c r="E1239" s="8">
        <v>2.2999999999999998</v>
      </c>
      <c r="F1239" s="8"/>
      <c r="G1239" s="8">
        <f t="shared" si="129"/>
        <v>3.25</v>
      </c>
      <c r="H1239" s="9">
        <f t="shared" si="128"/>
        <v>7.4749999999999996</v>
      </c>
      <c r="I1239" s="36"/>
      <c r="J1239" s="18"/>
      <c r="K1239" s="19"/>
    </row>
    <row r="1240" spans="2:11">
      <c r="B1240" s="4"/>
      <c r="C1240" s="40" t="s">
        <v>447</v>
      </c>
      <c r="D1240" s="7">
        <v>1</v>
      </c>
      <c r="E1240" s="8">
        <v>4.4000000000000004</v>
      </c>
      <c r="F1240" s="8"/>
      <c r="G1240" s="8">
        <f>(4.27+3.8)/2-0.25-0.15</f>
        <v>3.6350000000000002</v>
      </c>
      <c r="H1240" s="9">
        <f t="shared" si="128"/>
        <v>15.994000000000002</v>
      </c>
      <c r="I1240" s="36"/>
      <c r="J1240" s="18"/>
      <c r="K1240" s="19"/>
    </row>
    <row r="1241" spans="2:11">
      <c r="B1241" s="4"/>
      <c r="C1241" s="40"/>
      <c r="D1241" s="7">
        <v>1</v>
      </c>
      <c r="E1241" s="8">
        <v>2.5</v>
      </c>
      <c r="F1241" s="8"/>
      <c r="G1241" s="8">
        <f>(4.55+4.3)/2-0.25-0.15</f>
        <v>4.0249999999999995</v>
      </c>
      <c r="H1241" s="9">
        <f t="shared" si="128"/>
        <v>10.062499999999998</v>
      </c>
      <c r="I1241" s="36"/>
      <c r="J1241" s="18"/>
      <c r="K1241" s="19"/>
    </row>
    <row r="1242" spans="2:11">
      <c r="B1242" s="4"/>
      <c r="C1242" s="40" t="s">
        <v>449</v>
      </c>
      <c r="D1242" s="7">
        <v>1</v>
      </c>
      <c r="E1242" s="8">
        <v>2.8</v>
      </c>
      <c r="F1242" s="8"/>
      <c r="G1242" s="8">
        <f>(3.95+3.66)/2-0.25-0.15</f>
        <v>3.4050000000000002</v>
      </c>
      <c r="H1242" s="9">
        <f t="shared" si="128"/>
        <v>9.5340000000000007</v>
      </c>
      <c r="I1242" s="36"/>
      <c r="J1242" s="18"/>
      <c r="K1242" s="19"/>
    </row>
    <row r="1243" spans="2:11">
      <c r="B1243" s="4"/>
      <c r="C1243" s="6"/>
      <c r="D1243" s="7">
        <v>1</v>
      </c>
      <c r="E1243" s="8">
        <v>1.2250000000000001</v>
      </c>
      <c r="F1243" s="8"/>
      <c r="G1243" s="8">
        <v>3.96</v>
      </c>
      <c r="H1243" s="9">
        <f t="shared" si="128"/>
        <v>4.851</v>
      </c>
      <c r="I1243" s="36"/>
      <c r="J1243" s="18"/>
      <c r="K1243" s="19"/>
    </row>
    <row r="1244" spans="2:11">
      <c r="B1244" s="4"/>
      <c r="C1244" s="6" t="s">
        <v>77</v>
      </c>
      <c r="D1244" s="7">
        <v>2</v>
      </c>
      <c r="E1244" s="8">
        <v>2.9</v>
      </c>
      <c r="F1244" s="8"/>
      <c r="G1244" s="8">
        <f>(3.95+3.66)/2-0.25-0.15</f>
        <v>3.4050000000000002</v>
      </c>
      <c r="H1244" s="9">
        <f t="shared" si="128"/>
        <v>19.749000000000002</v>
      </c>
      <c r="I1244" s="36"/>
      <c r="J1244" s="18"/>
      <c r="K1244" s="19"/>
    </row>
    <row r="1245" spans="2:11">
      <c r="B1245" s="4"/>
      <c r="C1245" s="6"/>
      <c r="D1245" s="7">
        <v>2</v>
      </c>
      <c r="E1245" s="8">
        <v>1.23</v>
      </c>
      <c r="F1245" s="8"/>
      <c r="G1245" s="8">
        <f>3.96-2.1</f>
        <v>1.8599999999999999</v>
      </c>
      <c r="H1245" s="9">
        <f t="shared" si="128"/>
        <v>4.5755999999999997</v>
      </c>
      <c r="I1245" s="36"/>
      <c r="J1245" s="18" t="s">
        <v>528</v>
      </c>
      <c r="K1245" s="19"/>
    </row>
    <row r="1246" spans="2:11">
      <c r="B1246" s="4"/>
      <c r="C1246" s="6" t="s">
        <v>82</v>
      </c>
      <c r="D1246" s="7">
        <v>2</v>
      </c>
      <c r="E1246" s="8">
        <v>2.8</v>
      </c>
      <c r="F1246" s="8"/>
      <c r="G1246" s="8">
        <f>(3.76+3.65)/2-0.25-0.15</f>
        <v>3.3050000000000002</v>
      </c>
      <c r="H1246" s="9">
        <f t="shared" si="128"/>
        <v>18.507999999999999</v>
      </c>
      <c r="I1246" s="36"/>
      <c r="J1246" s="18"/>
      <c r="K1246" s="19"/>
    </row>
    <row r="1247" spans="2:11">
      <c r="B1247" s="4"/>
      <c r="C1247" s="6"/>
      <c r="D1247" s="7">
        <v>2</v>
      </c>
      <c r="E1247" s="8">
        <v>2.5</v>
      </c>
      <c r="F1247" s="8"/>
      <c r="G1247" s="8">
        <f>(4.54+4.29)/2-0.25-0.15</f>
        <v>4.0149999999999997</v>
      </c>
      <c r="H1247" s="9">
        <f t="shared" si="128"/>
        <v>20.074999999999999</v>
      </c>
      <c r="I1247" s="36"/>
      <c r="J1247" s="18"/>
      <c r="K1247" s="19"/>
    </row>
    <row r="1248" spans="2:11">
      <c r="B1248" s="4"/>
      <c r="C1248" s="6"/>
      <c r="D1248" s="7">
        <v>2</v>
      </c>
      <c r="E1248" s="8">
        <v>4.47</v>
      </c>
      <c r="F1248" s="8"/>
      <c r="G1248" s="8">
        <f>(3.95+3.66)/2-0.25-0.15</f>
        <v>3.4050000000000002</v>
      </c>
      <c r="H1248" s="9">
        <f t="shared" si="128"/>
        <v>30.4407</v>
      </c>
      <c r="I1248" s="36"/>
      <c r="J1248" s="18"/>
      <c r="K1248" s="19"/>
    </row>
    <row r="1249" spans="2:11">
      <c r="B1249" s="4"/>
      <c r="C1249" s="6" t="s">
        <v>452</v>
      </c>
      <c r="D1249" s="7">
        <v>2</v>
      </c>
      <c r="E1249" s="8">
        <v>3</v>
      </c>
      <c r="F1249" s="8"/>
      <c r="G1249" s="8">
        <f>(3.76+3.65)/2-0.25-0.15</f>
        <v>3.3050000000000002</v>
      </c>
      <c r="H1249" s="9">
        <f t="shared" si="128"/>
        <v>19.830000000000002</v>
      </c>
      <c r="I1249" s="36"/>
      <c r="J1249" s="18"/>
      <c r="K1249" s="19"/>
    </row>
    <row r="1250" spans="2:11">
      <c r="B1250" s="4"/>
      <c r="C1250" s="6"/>
      <c r="D1250" s="7">
        <v>2</v>
      </c>
      <c r="E1250" s="8">
        <v>1.3</v>
      </c>
      <c r="F1250" s="8"/>
      <c r="G1250" s="8">
        <f>(4.54+4.29)/2-0.25-0.15+0.41</f>
        <v>4.4249999999999998</v>
      </c>
      <c r="H1250" s="9">
        <f t="shared" si="128"/>
        <v>11.505000000000001</v>
      </c>
      <c r="I1250" s="36"/>
      <c r="J1250" s="18"/>
      <c r="K1250" s="19"/>
    </row>
    <row r="1251" spans="2:11">
      <c r="B1251" s="4"/>
      <c r="C1251" s="6"/>
      <c r="D1251" s="7">
        <v>2</v>
      </c>
      <c r="E1251" s="8">
        <v>1.2</v>
      </c>
      <c r="F1251" s="8"/>
      <c r="G1251" s="8">
        <f>(4.54+4.29)/2-0.25-0.15+0.41-2.1</f>
        <v>2.3249999999999997</v>
      </c>
      <c r="H1251" s="9">
        <f t="shared" si="128"/>
        <v>5.5799999999999992</v>
      </c>
      <c r="I1251" s="36"/>
      <c r="J1251" s="18" t="s">
        <v>529</v>
      </c>
      <c r="K1251" s="19"/>
    </row>
    <row r="1252" spans="2:11">
      <c r="B1252" s="4"/>
      <c r="C1252" s="6"/>
      <c r="D1252" s="7">
        <v>2</v>
      </c>
      <c r="E1252" s="8">
        <v>4.49</v>
      </c>
      <c r="F1252" s="8"/>
      <c r="G1252" s="8">
        <f>(3.95+3.66)/2-0.25-0.15</f>
        <v>3.4050000000000002</v>
      </c>
      <c r="H1252" s="9">
        <f t="shared" si="128"/>
        <v>30.576900000000002</v>
      </c>
      <c r="I1252" s="36"/>
      <c r="J1252" s="18"/>
      <c r="K1252" s="19"/>
    </row>
    <row r="1253" spans="2:11">
      <c r="B1253" s="4"/>
      <c r="C1253" s="6" t="s">
        <v>87</v>
      </c>
      <c r="D1253" s="7">
        <v>2</v>
      </c>
      <c r="E1253" s="8">
        <v>2.8</v>
      </c>
      <c r="F1253" s="8"/>
      <c r="G1253" s="8">
        <f>(3.76+3.65)/2-0.25-0.15</f>
        <v>3.3050000000000002</v>
      </c>
      <c r="H1253" s="9">
        <f t="shared" si="128"/>
        <v>18.507999999999999</v>
      </c>
      <c r="I1253" s="36"/>
      <c r="J1253" s="18"/>
      <c r="K1253" s="19"/>
    </row>
    <row r="1254" spans="2:11">
      <c r="B1254" s="4"/>
      <c r="C1254" s="6" t="s">
        <v>88</v>
      </c>
      <c r="D1254" s="7">
        <v>2</v>
      </c>
      <c r="E1254" s="8">
        <v>2.8</v>
      </c>
      <c r="F1254" s="8"/>
      <c r="G1254" s="8">
        <f>(3.76+3.65)/2-0.25-0.15</f>
        <v>3.3050000000000002</v>
      </c>
      <c r="H1254" s="9">
        <f t="shared" si="128"/>
        <v>18.507999999999999</v>
      </c>
      <c r="I1254" s="36"/>
      <c r="J1254" s="18"/>
      <c r="K1254" s="19"/>
    </row>
    <row r="1255" spans="2:11">
      <c r="B1255" s="4"/>
      <c r="C1255" s="6"/>
      <c r="D1255" s="7">
        <v>2</v>
      </c>
      <c r="E1255" s="8">
        <v>0.7</v>
      </c>
      <c r="F1255" s="8"/>
      <c r="G1255" s="8">
        <f>3.5-0.15</f>
        <v>3.35</v>
      </c>
      <c r="H1255" s="9">
        <f t="shared" si="128"/>
        <v>4.6899999999999995</v>
      </c>
      <c r="I1255" s="36"/>
      <c r="J1255" s="18"/>
      <c r="K1255" s="19"/>
    </row>
    <row r="1256" spans="2:11">
      <c r="B1256" s="4"/>
      <c r="C1256" s="6"/>
      <c r="D1256" s="7">
        <v>2</v>
      </c>
      <c r="E1256" s="8">
        <v>1</v>
      </c>
      <c r="F1256" s="8"/>
      <c r="G1256" s="8">
        <f>3.5-0.15</f>
        <v>3.35</v>
      </c>
      <c r="H1256" s="9">
        <f t="shared" si="128"/>
        <v>6.7</v>
      </c>
      <c r="I1256" s="36"/>
      <c r="J1256" s="18"/>
      <c r="K1256" s="19"/>
    </row>
    <row r="1257" spans="2:11">
      <c r="B1257" s="4"/>
      <c r="C1257" s="6"/>
      <c r="D1257" s="7">
        <v>2</v>
      </c>
      <c r="E1257" s="8">
        <v>4.5199999999999996</v>
      </c>
      <c r="F1257" s="8"/>
      <c r="G1257" s="8">
        <f>(3.95+3.66)/2-0.25-0.15</f>
        <v>3.4050000000000002</v>
      </c>
      <c r="H1257" s="9">
        <f t="shared" si="128"/>
        <v>30.781199999999998</v>
      </c>
      <c r="I1257" s="36"/>
      <c r="J1257" s="18"/>
      <c r="K1257" s="19"/>
    </row>
    <row r="1258" spans="2:11">
      <c r="B1258" s="4"/>
      <c r="C1258" s="6"/>
      <c r="D1258" s="7">
        <v>2</v>
      </c>
      <c r="E1258" s="8">
        <v>0.8</v>
      </c>
      <c r="F1258" s="8"/>
      <c r="G1258" s="8">
        <f>3.5-0.15</f>
        <v>3.35</v>
      </c>
      <c r="H1258" s="9">
        <f t="shared" si="128"/>
        <v>5.36</v>
      </c>
      <c r="I1258" s="36"/>
      <c r="J1258" s="18" t="s">
        <v>530</v>
      </c>
      <c r="K1258" s="19"/>
    </row>
    <row r="1259" spans="2:11">
      <c r="B1259" s="4"/>
      <c r="C1259" s="6"/>
      <c r="D1259" s="7">
        <v>2</v>
      </c>
      <c r="E1259" s="8">
        <v>1.5</v>
      </c>
      <c r="F1259" s="8"/>
      <c r="G1259" s="8">
        <f>3.5-0.15</f>
        <v>3.35</v>
      </c>
      <c r="H1259" s="9">
        <f t="shared" si="128"/>
        <v>10.050000000000001</v>
      </c>
      <c r="I1259" s="36"/>
      <c r="J1259" s="18" t="s">
        <v>531</v>
      </c>
      <c r="K1259" s="19"/>
    </row>
    <row r="1260" spans="2:11" ht="18" customHeight="1">
      <c r="B1260" s="4"/>
      <c r="C1260" s="6"/>
      <c r="D1260" s="7">
        <v>2</v>
      </c>
      <c r="E1260" s="8">
        <v>1.8</v>
      </c>
      <c r="F1260" s="8"/>
      <c r="G1260" s="8">
        <f>(3.95+3.66)/2-0.25-0.15-2.1</f>
        <v>1.3050000000000002</v>
      </c>
      <c r="H1260" s="9">
        <f t="shared" si="128"/>
        <v>4.6980000000000004</v>
      </c>
      <c r="I1260" s="36"/>
      <c r="J1260" s="18" t="s">
        <v>146</v>
      </c>
      <c r="K1260" s="19"/>
    </row>
    <row r="1261" spans="2:11" ht="18" customHeight="1">
      <c r="B1261" s="4"/>
      <c r="C1261" s="6"/>
      <c r="D1261" s="7">
        <v>2</v>
      </c>
      <c r="E1261" s="8">
        <v>1.5</v>
      </c>
      <c r="F1261" s="8"/>
      <c r="G1261" s="8">
        <v>3.96</v>
      </c>
      <c r="H1261" s="9">
        <f t="shared" si="128"/>
        <v>11.879999999999999</v>
      </c>
      <c r="I1261" s="36"/>
      <c r="J1261" s="18" t="s">
        <v>525</v>
      </c>
      <c r="K1261" s="19"/>
    </row>
    <row r="1262" spans="2:11">
      <c r="B1262" s="4"/>
      <c r="C1262" s="6"/>
      <c r="D1262" s="7">
        <v>2</v>
      </c>
      <c r="E1262" s="8">
        <v>2.2999999999999998</v>
      </c>
      <c r="F1262" s="8"/>
      <c r="G1262" s="8">
        <f>3.76-0.25</f>
        <v>3.51</v>
      </c>
      <c r="H1262" s="9">
        <f t="shared" si="128"/>
        <v>16.145999999999997</v>
      </c>
      <c r="I1262" s="36"/>
      <c r="J1262" s="18" t="s">
        <v>528</v>
      </c>
      <c r="K1262" s="19"/>
    </row>
    <row r="1263" spans="2:11">
      <c r="B1263" s="4"/>
      <c r="C1263" t="s">
        <v>516</v>
      </c>
      <c r="D1263" s="7">
        <v>4</v>
      </c>
      <c r="E1263" s="8">
        <v>1.2</v>
      </c>
      <c r="F1263" s="8"/>
      <c r="G1263" s="8">
        <v>1.45</v>
      </c>
      <c r="H1263" s="9">
        <f t="shared" si="128"/>
        <v>6.96</v>
      </c>
      <c r="I1263" s="36"/>
      <c r="J1263" s="18"/>
      <c r="K1263" s="19"/>
    </row>
    <row r="1264" spans="2:11">
      <c r="B1264" s="4"/>
      <c r="C1264" s="6"/>
      <c r="D1264" s="7">
        <v>4</v>
      </c>
      <c r="E1264" s="8">
        <v>1.2</v>
      </c>
      <c r="F1264" s="8"/>
      <c r="G1264" s="8">
        <v>1.45</v>
      </c>
      <c r="H1264" s="9">
        <f t="shared" si="128"/>
        <v>6.96</v>
      </c>
      <c r="I1264" s="36"/>
      <c r="J1264" s="18"/>
      <c r="K1264" s="19"/>
    </row>
    <row r="1265" spans="2:11">
      <c r="B1265" s="4"/>
      <c r="C1265" s="6"/>
      <c r="D1265" s="7"/>
      <c r="E1265" s="8"/>
      <c r="F1265" s="8"/>
      <c r="G1265" s="8"/>
      <c r="H1265" s="9"/>
      <c r="I1265" s="36"/>
      <c r="J1265" s="18"/>
      <c r="K1265" s="19"/>
    </row>
    <row r="1266" spans="2:11">
      <c r="B1266" s="4"/>
      <c r="C1266" s="33"/>
      <c r="D1266" s="7"/>
      <c r="E1266" s="8"/>
      <c r="F1266" s="8"/>
      <c r="G1266" s="8"/>
      <c r="H1266" s="9"/>
      <c r="I1266" s="9"/>
      <c r="J1266" s="18"/>
      <c r="K1266" s="150" t="s">
        <v>458</v>
      </c>
    </row>
    <row r="1267" spans="2:11">
      <c r="B1267" s="4"/>
      <c r="C1267" s="56" t="s">
        <v>125</v>
      </c>
      <c r="D1267" s="7">
        <v>1</v>
      </c>
      <c r="E1267" s="8">
        <f>0.1+0.1</f>
        <v>0.2</v>
      </c>
      <c r="F1267" s="8"/>
      <c r="G1267" s="8">
        <f>4.15</f>
        <v>4.1500000000000004</v>
      </c>
      <c r="H1267" s="34">
        <f t="shared" ref="H1267:H1285" si="130">PRODUCT(D1267:G1267)</f>
        <v>0.83000000000000007</v>
      </c>
      <c r="I1267" s="10"/>
      <c r="J1267" s="124" t="s">
        <v>463</v>
      </c>
      <c r="K1267" s="19"/>
    </row>
    <row r="1268" spans="2:11">
      <c r="B1268" s="4"/>
      <c r="C1268" s="56" t="s">
        <v>125</v>
      </c>
      <c r="D1268" s="7">
        <v>1</v>
      </c>
      <c r="E1268" s="8">
        <f>0.1+0.1+0.1</f>
        <v>0.30000000000000004</v>
      </c>
      <c r="F1268" s="8"/>
      <c r="G1268" s="8">
        <f>4.15</f>
        <v>4.1500000000000004</v>
      </c>
      <c r="H1268" s="34">
        <f t="shared" si="130"/>
        <v>1.2450000000000003</v>
      </c>
      <c r="I1268" s="10"/>
      <c r="J1268" s="124" t="s">
        <v>464</v>
      </c>
      <c r="K1268" s="19"/>
    </row>
    <row r="1269" spans="2:11">
      <c r="B1269" s="4"/>
      <c r="C1269" s="56" t="s">
        <v>125</v>
      </c>
      <c r="D1269" s="7">
        <v>1</v>
      </c>
      <c r="E1269" s="8">
        <f>0.1+0.1+0.1</f>
        <v>0.30000000000000004</v>
      </c>
      <c r="F1269" s="8"/>
      <c r="G1269" s="8">
        <f>4.15</f>
        <v>4.1500000000000004</v>
      </c>
      <c r="H1269" s="34">
        <f t="shared" si="130"/>
        <v>1.2450000000000003</v>
      </c>
      <c r="I1269" s="10"/>
      <c r="J1269" s="124" t="s">
        <v>465</v>
      </c>
      <c r="K1269" s="19"/>
    </row>
    <row r="1270" spans="2:11">
      <c r="B1270" s="4"/>
      <c r="C1270" s="56" t="s">
        <v>125</v>
      </c>
      <c r="D1270" s="7">
        <v>1</v>
      </c>
      <c r="E1270" s="8">
        <f>0.1+0.1</f>
        <v>0.2</v>
      </c>
      <c r="F1270" s="8"/>
      <c r="G1270" s="8">
        <f>3.55</f>
        <v>3.55</v>
      </c>
      <c r="H1270" s="34">
        <f t="shared" si="130"/>
        <v>0.71</v>
      </c>
      <c r="I1270" s="10"/>
      <c r="J1270" s="124" t="s">
        <v>466</v>
      </c>
      <c r="K1270" s="19"/>
    </row>
    <row r="1271" spans="2:11">
      <c r="B1271" s="4"/>
      <c r="C1271" s="56" t="s">
        <v>125</v>
      </c>
      <c r="D1271" s="7">
        <v>1</v>
      </c>
      <c r="E1271" s="8">
        <f>0.1+0.1</f>
        <v>0.2</v>
      </c>
      <c r="F1271" s="8"/>
      <c r="G1271" s="8">
        <f>4.75</f>
        <v>4.75</v>
      </c>
      <c r="H1271" s="34">
        <f t="shared" si="130"/>
        <v>0.95000000000000007</v>
      </c>
      <c r="I1271" s="10"/>
      <c r="J1271" s="124" t="s">
        <v>467</v>
      </c>
      <c r="K1271" s="19"/>
    </row>
    <row r="1272" spans="2:11">
      <c r="B1272" s="4"/>
      <c r="C1272" s="56" t="s">
        <v>125</v>
      </c>
      <c r="D1272" s="7">
        <v>1</v>
      </c>
      <c r="E1272" s="8">
        <f>0.25+0.25+0.1+0.1</f>
        <v>0.7</v>
      </c>
      <c r="F1272" s="8"/>
      <c r="G1272" s="8">
        <f>4.75</f>
        <v>4.75</v>
      </c>
      <c r="H1272" s="34">
        <f t="shared" si="130"/>
        <v>3.3249999999999997</v>
      </c>
      <c r="I1272" s="10"/>
      <c r="J1272" s="124" t="s">
        <v>74</v>
      </c>
      <c r="K1272" s="19"/>
    </row>
    <row r="1273" spans="2:11">
      <c r="B1273" s="4"/>
      <c r="C1273" s="56" t="s">
        <v>125</v>
      </c>
      <c r="D1273" s="7">
        <v>1</v>
      </c>
      <c r="E1273" s="8">
        <f>0.25+0.25+0.1+0.1</f>
        <v>0.7</v>
      </c>
      <c r="F1273" s="8"/>
      <c r="G1273" s="8">
        <f>4.75</f>
        <v>4.75</v>
      </c>
      <c r="H1273" s="34">
        <f t="shared" si="130"/>
        <v>3.3249999999999997</v>
      </c>
      <c r="I1273" s="10"/>
      <c r="J1273" s="124" t="s">
        <v>468</v>
      </c>
      <c r="K1273" s="19"/>
    </row>
    <row r="1274" spans="2:11">
      <c r="B1274" s="4"/>
      <c r="C1274" s="56" t="s">
        <v>125</v>
      </c>
      <c r="D1274" s="7">
        <v>1</v>
      </c>
      <c r="E1274" s="8">
        <f>0.25+0.25+0.25+0.1</f>
        <v>0.85</v>
      </c>
      <c r="F1274" s="8"/>
      <c r="G1274" s="8">
        <f>4.15</f>
        <v>4.1500000000000004</v>
      </c>
      <c r="H1274" s="34">
        <f t="shared" si="130"/>
        <v>3.5275000000000003</v>
      </c>
      <c r="I1274" s="10"/>
      <c r="J1274" s="124" t="s">
        <v>127</v>
      </c>
      <c r="K1274" s="19"/>
    </row>
    <row r="1275" spans="2:11">
      <c r="B1275" s="4"/>
      <c r="C1275" s="56" t="s">
        <v>125</v>
      </c>
      <c r="D1275" s="7">
        <v>1</v>
      </c>
      <c r="E1275" s="8">
        <f>0.25+0.1+0.1</f>
        <v>0.44999999999999996</v>
      </c>
      <c r="F1275" s="8"/>
      <c r="G1275" s="8">
        <f t="shared" ref="G1275:G1280" si="131">4.16</f>
        <v>4.16</v>
      </c>
      <c r="H1275" s="34">
        <f t="shared" si="130"/>
        <v>1.8719999999999999</v>
      </c>
      <c r="I1275" s="10"/>
      <c r="J1275" s="124" t="s">
        <v>469</v>
      </c>
      <c r="K1275" s="19"/>
    </row>
    <row r="1276" spans="2:11">
      <c r="B1276" s="4"/>
      <c r="C1276" s="56" t="s">
        <v>125</v>
      </c>
      <c r="D1276" s="7">
        <v>1</v>
      </c>
      <c r="E1276" s="8">
        <f>0.25+0.25+0.25+0.1</f>
        <v>0.85</v>
      </c>
      <c r="F1276" s="8"/>
      <c r="G1276" s="8">
        <f t="shared" si="131"/>
        <v>4.16</v>
      </c>
      <c r="H1276" s="34">
        <f t="shared" si="130"/>
        <v>3.536</v>
      </c>
      <c r="I1276" s="10"/>
      <c r="J1276" s="124" t="s">
        <v>73</v>
      </c>
      <c r="K1276" s="19"/>
    </row>
    <row r="1277" spans="2:11">
      <c r="B1277" s="4"/>
      <c r="C1277" s="56" t="s">
        <v>125</v>
      </c>
      <c r="D1277" s="7">
        <v>1</v>
      </c>
      <c r="E1277" s="8">
        <f>0.1+0.1+0.25</f>
        <v>0.45</v>
      </c>
      <c r="F1277" s="8"/>
      <c r="G1277" s="8">
        <f t="shared" si="131"/>
        <v>4.16</v>
      </c>
      <c r="H1277" s="34">
        <f t="shared" si="130"/>
        <v>1.8720000000000001</v>
      </c>
      <c r="I1277" s="10"/>
      <c r="J1277" s="124" t="s">
        <v>470</v>
      </c>
      <c r="K1277" s="19"/>
    </row>
    <row r="1278" spans="2:11">
      <c r="B1278" s="4"/>
      <c r="C1278" s="56" t="s">
        <v>125</v>
      </c>
      <c r="D1278" s="7">
        <v>1</v>
      </c>
      <c r="E1278" s="8">
        <f>0.25+0.25+0.1+0.1</f>
        <v>0.7</v>
      </c>
      <c r="F1278" s="8"/>
      <c r="G1278" s="8">
        <f t="shared" si="131"/>
        <v>4.16</v>
      </c>
      <c r="H1278" s="34">
        <f t="shared" si="130"/>
        <v>2.9119999999999999</v>
      </c>
      <c r="I1278" s="10"/>
      <c r="J1278" s="124" t="s">
        <v>70</v>
      </c>
      <c r="K1278" s="19"/>
    </row>
    <row r="1279" spans="2:11">
      <c r="B1279" s="4"/>
      <c r="C1279" s="56" t="s">
        <v>125</v>
      </c>
      <c r="D1279" s="7">
        <v>1</v>
      </c>
      <c r="E1279" s="8">
        <f t="shared" ref="E1279" si="132">0.25+0.25+0.1+0.1</f>
        <v>0.7</v>
      </c>
      <c r="F1279" s="8"/>
      <c r="G1279" s="8">
        <f t="shared" si="131"/>
        <v>4.16</v>
      </c>
      <c r="H1279" s="34">
        <f t="shared" si="130"/>
        <v>2.9119999999999999</v>
      </c>
      <c r="I1279" s="10"/>
      <c r="J1279" s="124" t="s">
        <v>71</v>
      </c>
      <c r="K1279" s="19"/>
    </row>
    <row r="1280" spans="2:11">
      <c r="B1280" s="4"/>
      <c r="C1280" s="56" t="s">
        <v>125</v>
      </c>
      <c r="D1280" s="7">
        <v>1</v>
      </c>
      <c r="E1280" s="8">
        <f>0.25+0.25+0.25+0.1</f>
        <v>0.85</v>
      </c>
      <c r="F1280" s="8"/>
      <c r="G1280" s="8">
        <f t="shared" si="131"/>
        <v>4.16</v>
      </c>
      <c r="H1280" s="34">
        <f t="shared" si="130"/>
        <v>3.536</v>
      </c>
      <c r="I1280" s="10"/>
      <c r="J1280" s="124" t="s">
        <v>72</v>
      </c>
      <c r="K1280" s="19"/>
    </row>
    <row r="1281" spans="2:11">
      <c r="B1281" s="4"/>
      <c r="C1281" s="56" t="s">
        <v>125</v>
      </c>
      <c r="D1281" s="7">
        <v>1</v>
      </c>
      <c r="E1281" s="8">
        <f>0.1+0.1</f>
        <v>0.2</v>
      </c>
      <c r="F1281" s="8"/>
      <c r="G1281" s="8">
        <v>4</v>
      </c>
      <c r="H1281" s="34">
        <f t="shared" si="130"/>
        <v>0.8</v>
      </c>
      <c r="I1281" s="10"/>
      <c r="J1281" s="124" t="s">
        <v>471</v>
      </c>
      <c r="K1281" s="19"/>
    </row>
    <row r="1282" spans="2:11">
      <c r="B1282" s="4"/>
      <c r="C1282" s="56" t="s">
        <v>125</v>
      </c>
      <c r="D1282" s="7">
        <v>1</v>
      </c>
      <c r="E1282" s="8">
        <f>0.1+0.1+0.1</f>
        <v>0.30000000000000004</v>
      </c>
      <c r="F1282" s="8"/>
      <c r="G1282" s="8">
        <v>4</v>
      </c>
      <c r="H1282" s="34">
        <f t="shared" si="130"/>
        <v>1.2000000000000002</v>
      </c>
      <c r="I1282" s="10"/>
      <c r="J1282" s="124" t="s">
        <v>66</v>
      </c>
      <c r="K1282" s="19"/>
    </row>
    <row r="1283" spans="2:11">
      <c r="B1283" s="4"/>
      <c r="C1283" s="56" t="s">
        <v>125</v>
      </c>
      <c r="D1283" s="7">
        <v>1</v>
      </c>
      <c r="E1283" s="8">
        <f>0.1+0.1+0.1</f>
        <v>0.30000000000000004</v>
      </c>
      <c r="F1283" s="8"/>
      <c r="G1283" s="8">
        <v>4</v>
      </c>
      <c r="H1283" s="34">
        <f t="shared" si="130"/>
        <v>1.2000000000000002</v>
      </c>
      <c r="I1283" s="10"/>
      <c r="J1283" s="124" t="s">
        <v>67</v>
      </c>
      <c r="K1283" s="19"/>
    </row>
    <row r="1284" spans="2:11">
      <c r="B1284" s="4"/>
      <c r="C1284" s="56" t="s">
        <v>125</v>
      </c>
      <c r="D1284" s="7">
        <v>1</v>
      </c>
      <c r="E1284" s="8">
        <f>0.1+0.1+0.1</f>
        <v>0.30000000000000004</v>
      </c>
      <c r="F1284" s="8"/>
      <c r="G1284" s="8">
        <v>4</v>
      </c>
      <c r="H1284" s="34">
        <f t="shared" si="130"/>
        <v>1.2000000000000002</v>
      </c>
      <c r="I1284" s="10"/>
      <c r="J1284" s="124" t="s">
        <v>472</v>
      </c>
      <c r="K1284" s="19"/>
    </row>
    <row r="1285" spans="2:11">
      <c r="B1285" s="4"/>
      <c r="C1285" s="56" t="s">
        <v>125</v>
      </c>
      <c r="D1285" s="7">
        <v>1</v>
      </c>
      <c r="E1285" s="8">
        <f>0.1+0.1</f>
        <v>0.2</v>
      </c>
      <c r="F1285" s="8"/>
      <c r="G1285" s="8">
        <v>4</v>
      </c>
      <c r="H1285" s="34">
        <f t="shared" si="130"/>
        <v>0.8</v>
      </c>
      <c r="I1285" s="10"/>
      <c r="J1285" s="124" t="s">
        <v>68</v>
      </c>
      <c r="K1285" s="19"/>
    </row>
    <row r="1286" spans="2:11">
      <c r="B1286" s="4"/>
      <c r="C1286" s="142"/>
      <c r="D1286" s="7"/>
      <c r="E1286" s="8"/>
      <c r="F1286" s="8"/>
      <c r="G1286" s="8"/>
      <c r="H1286" s="34"/>
      <c r="I1286" s="10"/>
      <c r="J1286" s="124"/>
      <c r="K1286" s="19"/>
    </row>
    <row r="1287" spans="2:11">
      <c r="B1287" s="4"/>
      <c r="C1287" s="56" t="s">
        <v>126</v>
      </c>
      <c r="D1287" s="7">
        <v>1</v>
      </c>
      <c r="E1287" s="8">
        <f>0.25+0.25+0.25</f>
        <v>0.75</v>
      </c>
      <c r="F1287" s="8"/>
      <c r="G1287" s="8">
        <v>4.1500000000000004</v>
      </c>
      <c r="H1287" s="34">
        <f t="shared" ref="H1287:H1288" si="133">PRODUCT(D1287:G1287)</f>
        <v>3.1125000000000003</v>
      </c>
      <c r="I1287" s="10"/>
      <c r="J1287" s="124" t="s">
        <v>473</v>
      </c>
      <c r="K1287" s="19"/>
    </row>
    <row r="1288" spans="2:11">
      <c r="B1288" s="4"/>
      <c r="C1288" s="56" t="s">
        <v>126</v>
      </c>
      <c r="D1288" s="7">
        <v>1</v>
      </c>
      <c r="E1288" s="8">
        <f>0.25+0.25+0.25</f>
        <v>0.75</v>
      </c>
      <c r="F1288" s="8"/>
      <c r="G1288" s="8">
        <v>4.75</v>
      </c>
      <c r="H1288" s="34">
        <f t="shared" si="133"/>
        <v>3.5625</v>
      </c>
      <c r="I1288" s="10"/>
      <c r="J1288" s="124" t="s">
        <v>474</v>
      </c>
      <c r="K1288" s="19"/>
    </row>
    <row r="1289" spans="2:11">
      <c r="B1289" s="4"/>
      <c r="C1289" s="56"/>
      <c r="D1289" s="7"/>
      <c r="E1289" s="8"/>
      <c r="F1289" s="8"/>
      <c r="G1289" s="8"/>
      <c r="H1289" s="34"/>
      <c r="I1289" s="10"/>
      <c r="J1289" s="124"/>
      <c r="K1289" s="19"/>
    </row>
    <row r="1290" spans="2:11">
      <c r="B1290" s="4"/>
      <c r="C1290" s="56" t="s">
        <v>475</v>
      </c>
      <c r="D1290" s="7">
        <v>1</v>
      </c>
      <c r="E1290" s="8">
        <f>0.25+0.15+0.15</f>
        <v>0.55000000000000004</v>
      </c>
      <c r="F1290" s="8"/>
      <c r="G1290" s="8">
        <v>4.49</v>
      </c>
      <c r="H1290" s="34">
        <f t="shared" ref="H1290:H1293" si="134">PRODUCT(D1290:G1290)</f>
        <v>2.4695000000000005</v>
      </c>
      <c r="I1290" s="10"/>
      <c r="J1290" s="124" t="s">
        <v>476</v>
      </c>
      <c r="K1290" s="19"/>
    </row>
    <row r="1291" spans="2:11">
      <c r="B1291" s="4"/>
      <c r="C1291" s="56" t="s">
        <v>475</v>
      </c>
      <c r="D1291" s="7">
        <v>1</v>
      </c>
      <c r="E1291" s="8">
        <f>0.25+0.25+0.15+0.15</f>
        <v>0.8</v>
      </c>
      <c r="F1291" s="8"/>
      <c r="G1291" s="8">
        <v>4.49</v>
      </c>
      <c r="H1291" s="34">
        <f t="shared" si="134"/>
        <v>3.5920000000000005</v>
      </c>
      <c r="I1291" s="10"/>
      <c r="J1291" s="124" t="s">
        <v>477</v>
      </c>
      <c r="K1291" s="19"/>
    </row>
    <row r="1292" spans="2:11">
      <c r="B1292" s="4"/>
      <c r="C1292" s="56" t="s">
        <v>475</v>
      </c>
      <c r="D1292" s="7">
        <v>1</v>
      </c>
      <c r="E1292" s="8">
        <f>0.3+0.25+0.15+0.1</f>
        <v>0.8</v>
      </c>
      <c r="F1292" s="8"/>
      <c r="G1292" s="8">
        <v>4.49</v>
      </c>
      <c r="H1292" s="34">
        <f t="shared" si="134"/>
        <v>3.5920000000000005</v>
      </c>
      <c r="I1292" s="10"/>
      <c r="J1292" s="124" t="s">
        <v>478</v>
      </c>
      <c r="K1292" s="19"/>
    </row>
    <row r="1293" spans="2:11">
      <c r="B1293" s="4"/>
      <c r="C1293" s="56" t="s">
        <v>475</v>
      </c>
      <c r="D1293" s="7">
        <v>1</v>
      </c>
      <c r="E1293" s="8">
        <f>0.3+0.25+0.25+0.15</f>
        <v>0.95000000000000007</v>
      </c>
      <c r="F1293" s="8"/>
      <c r="G1293" s="8">
        <v>3.9</v>
      </c>
      <c r="H1293" s="34">
        <f t="shared" si="134"/>
        <v>3.7050000000000001</v>
      </c>
      <c r="I1293" s="10"/>
      <c r="J1293" s="124" t="s">
        <v>128</v>
      </c>
      <c r="K1293" s="19"/>
    </row>
    <row r="1294" spans="2:11">
      <c r="B1294" s="4"/>
      <c r="C1294" s="56"/>
      <c r="D1294" s="7"/>
      <c r="E1294" s="8"/>
      <c r="F1294" s="8"/>
      <c r="G1294" s="8"/>
      <c r="H1294" s="34"/>
      <c r="I1294" s="10"/>
      <c r="J1294" s="124"/>
      <c r="K1294" s="19"/>
    </row>
    <row r="1295" spans="2:11">
      <c r="B1295" s="4"/>
      <c r="C1295" s="56" t="s">
        <v>479</v>
      </c>
      <c r="D1295" s="7">
        <v>1</v>
      </c>
      <c r="E1295" s="8">
        <f>0.15+0.15</f>
        <v>0.3</v>
      </c>
      <c r="F1295" s="8"/>
      <c r="G1295" s="8">
        <v>4.75</v>
      </c>
      <c r="H1295" s="34">
        <f t="shared" ref="H1295:H1298" si="135">PRODUCT(D1295:G1295)</f>
        <v>1.425</v>
      </c>
      <c r="I1295" s="10"/>
      <c r="J1295" s="124" t="s">
        <v>480</v>
      </c>
      <c r="K1295" s="19"/>
    </row>
    <row r="1296" spans="2:11">
      <c r="B1296" s="4"/>
      <c r="C1296" s="56" t="s">
        <v>479</v>
      </c>
      <c r="D1296" s="7">
        <v>1</v>
      </c>
      <c r="E1296" s="8">
        <f>0.15+0.15</f>
        <v>0.3</v>
      </c>
      <c r="F1296" s="8"/>
      <c r="G1296" s="8">
        <v>4.1500000000000004</v>
      </c>
      <c r="H1296" s="34">
        <f t="shared" si="135"/>
        <v>1.2450000000000001</v>
      </c>
      <c r="I1296" s="10"/>
      <c r="J1296" s="124" t="s">
        <v>69</v>
      </c>
      <c r="K1296" s="19"/>
    </row>
    <row r="1297" spans="2:11">
      <c r="B1297" s="4"/>
      <c r="C1297" s="56" t="s">
        <v>479</v>
      </c>
      <c r="D1297" s="7">
        <v>1</v>
      </c>
      <c r="E1297" s="8">
        <f>0.15+0.15+0.15</f>
        <v>0.44999999999999996</v>
      </c>
      <c r="F1297" s="8"/>
      <c r="G1297" s="8">
        <v>4.1500000000000004</v>
      </c>
      <c r="H1297" s="34">
        <f t="shared" si="135"/>
        <v>1.8674999999999999</v>
      </c>
      <c r="I1297" s="10"/>
      <c r="J1297" s="124" t="s">
        <v>481</v>
      </c>
      <c r="K1297" s="19"/>
    </row>
    <row r="1298" spans="2:11">
      <c r="B1298" s="4"/>
      <c r="C1298" s="56" t="s">
        <v>479</v>
      </c>
      <c r="D1298" s="7">
        <v>1</v>
      </c>
      <c r="E1298" s="8">
        <v>0.15</v>
      </c>
      <c r="F1298" s="8"/>
      <c r="G1298" s="8">
        <v>4</v>
      </c>
      <c r="H1298" s="34">
        <f t="shared" si="135"/>
        <v>0.6</v>
      </c>
      <c r="I1298" s="10"/>
      <c r="J1298" s="124" t="s">
        <v>482</v>
      </c>
      <c r="K1298" s="19"/>
    </row>
    <row r="1299" spans="2:11">
      <c r="B1299" s="4"/>
      <c r="C1299" s="56"/>
      <c r="D1299" s="7"/>
      <c r="E1299" s="8"/>
      <c r="F1299" s="8"/>
      <c r="G1299" s="8"/>
      <c r="H1299" s="34"/>
      <c r="I1299" s="10"/>
      <c r="J1299" s="124"/>
      <c r="K1299" s="19"/>
    </row>
    <row r="1300" spans="2:11">
      <c r="B1300" s="4"/>
      <c r="C1300" s="56" t="s">
        <v>483</v>
      </c>
      <c r="D1300" s="7">
        <v>1</v>
      </c>
      <c r="E1300" s="8">
        <f>0.15+0.2+0.2</f>
        <v>0.55000000000000004</v>
      </c>
      <c r="F1300" s="8"/>
      <c r="G1300" s="8">
        <v>2.4</v>
      </c>
      <c r="H1300" s="34">
        <f t="shared" ref="H1300:H1303" si="136">PRODUCT(D1300:G1300)</f>
        <v>1.32</v>
      </c>
      <c r="I1300" s="10"/>
      <c r="J1300" s="124" t="s">
        <v>484</v>
      </c>
      <c r="K1300" s="19"/>
    </row>
    <row r="1301" spans="2:11">
      <c r="B1301" s="4"/>
      <c r="C1301" s="56" t="s">
        <v>483</v>
      </c>
      <c r="D1301" s="7">
        <v>1</v>
      </c>
      <c r="E1301" s="8">
        <f t="shared" ref="E1301:E1303" si="137">0.15+0.2+0.2</f>
        <v>0.55000000000000004</v>
      </c>
      <c r="F1301" s="8"/>
      <c r="G1301" s="8">
        <v>2.4</v>
      </c>
      <c r="H1301" s="34">
        <f t="shared" si="136"/>
        <v>1.32</v>
      </c>
      <c r="I1301" s="10"/>
      <c r="J1301" s="124" t="s">
        <v>128</v>
      </c>
      <c r="K1301" s="19"/>
    </row>
    <row r="1302" spans="2:11">
      <c r="B1302" s="4"/>
      <c r="C1302" s="56" t="s">
        <v>483</v>
      </c>
      <c r="D1302" s="7">
        <v>1</v>
      </c>
      <c r="E1302" s="8">
        <f t="shared" si="137"/>
        <v>0.55000000000000004</v>
      </c>
      <c r="F1302" s="8"/>
      <c r="G1302" s="8">
        <v>2.4</v>
      </c>
      <c r="H1302" s="34">
        <f t="shared" si="136"/>
        <v>1.32</v>
      </c>
      <c r="I1302" s="10"/>
      <c r="J1302" s="124" t="s">
        <v>127</v>
      </c>
      <c r="K1302" s="19"/>
    </row>
    <row r="1303" spans="2:11">
      <c r="B1303" s="4"/>
      <c r="C1303" s="56" t="s">
        <v>483</v>
      </c>
      <c r="D1303" s="7">
        <v>1</v>
      </c>
      <c r="E1303" s="8">
        <f t="shared" si="137"/>
        <v>0.55000000000000004</v>
      </c>
      <c r="F1303" s="8"/>
      <c r="G1303" s="8">
        <v>2.4</v>
      </c>
      <c r="H1303" s="34">
        <f t="shared" si="136"/>
        <v>1.32</v>
      </c>
      <c r="I1303" s="10"/>
      <c r="J1303" s="124" t="s">
        <v>127</v>
      </c>
      <c r="K1303" s="19"/>
    </row>
    <row r="1304" spans="2:11">
      <c r="B1304" s="4"/>
      <c r="C1304" s="56"/>
      <c r="D1304" s="7"/>
      <c r="E1304" s="8"/>
      <c r="F1304" s="8"/>
      <c r="G1304" s="8"/>
      <c r="H1304" s="34"/>
      <c r="I1304" s="10"/>
      <c r="J1304" s="123"/>
      <c r="K1304" s="19"/>
    </row>
    <row r="1305" spans="2:11">
      <c r="B1305" s="4"/>
      <c r="C1305" s="56"/>
      <c r="D1305" s="7"/>
      <c r="E1305" s="8"/>
      <c r="F1305" s="8"/>
      <c r="G1305" s="8"/>
      <c r="H1305" s="34"/>
      <c r="I1305" s="10"/>
      <c r="J1305" s="123"/>
      <c r="K1305" s="19"/>
    </row>
    <row r="1306" spans="2:11">
      <c r="B1306" s="4"/>
      <c r="C1306" s="56" t="s">
        <v>485</v>
      </c>
      <c r="D1306" s="7"/>
      <c r="E1306" s="8"/>
      <c r="F1306" s="8"/>
      <c r="G1306" s="8"/>
      <c r="H1306" s="34"/>
      <c r="I1306" s="10"/>
      <c r="J1306" s="123"/>
      <c r="K1306" s="19"/>
    </row>
    <row r="1307" spans="2:11">
      <c r="B1307" s="4"/>
      <c r="C1307" s="56" t="s">
        <v>479</v>
      </c>
      <c r="D1307" s="7">
        <v>4</v>
      </c>
      <c r="E1307" s="8">
        <f>0.15+0.15</f>
        <v>0.3</v>
      </c>
      <c r="F1307" s="8"/>
      <c r="G1307" s="8">
        <v>1.7</v>
      </c>
      <c r="H1307" s="34">
        <f t="shared" ref="H1307:H1308" si="138">PRODUCT(D1307:G1307)</f>
        <v>2.04</v>
      </c>
      <c r="I1307" s="10"/>
      <c r="J1307" s="123"/>
      <c r="K1307" s="19"/>
    </row>
    <row r="1308" spans="2:11">
      <c r="B1308" s="4"/>
      <c r="C1308" s="56" t="s">
        <v>479</v>
      </c>
      <c r="D1308" s="7">
        <v>4</v>
      </c>
      <c r="E1308" s="8">
        <f>0.15+0.15</f>
        <v>0.3</v>
      </c>
      <c r="F1308" s="8"/>
      <c r="G1308" s="8">
        <v>1.7</v>
      </c>
      <c r="H1308" s="34">
        <f t="shared" si="138"/>
        <v>2.04</v>
      </c>
      <c r="I1308" s="10"/>
      <c r="J1308" s="123"/>
      <c r="K1308" s="19"/>
    </row>
    <row r="1309" spans="2:11">
      <c r="B1309" s="4"/>
      <c r="C1309" s="147"/>
      <c r="D1309" s="7"/>
      <c r="E1309" s="8"/>
      <c r="F1309" s="8"/>
      <c r="G1309" s="8"/>
      <c r="H1309" s="34"/>
      <c r="I1309" s="10"/>
      <c r="J1309" s="123"/>
      <c r="K1309" s="19"/>
    </row>
    <row r="1310" spans="2:11">
      <c r="B1310" s="4"/>
      <c r="C1310" s="40" t="s">
        <v>435</v>
      </c>
      <c r="D1310" s="7">
        <v>1</v>
      </c>
      <c r="E1310" s="20">
        <v>4.1500000000000004</v>
      </c>
      <c r="F1310" s="20"/>
      <c r="G1310" s="20">
        <v>0.3</v>
      </c>
      <c r="H1310" s="9">
        <f>PRODUCT(D1310:G1310)</f>
        <v>1.2450000000000001</v>
      </c>
      <c r="I1310" s="10"/>
      <c r="J1310" s="18" t="s">
        <v>436</v>
      </c>
      <c r="K1310" s="19" t="s">
        <v>78</v>
      </c>
    </row>
    <row r="1311" spans="2:11">
      <c r="B1311" s="4"/>
      <c r="C1311" s="6"/>
      <c r="D1311" s="7">
        <v>1</v>
      </c>
      <c r="E1311" s="20">
        <v>4.05</v>
      </c>
      <c r="F1311" s="20"/>
      <c r="G1311" s="20">
        <v>0.3</v>
      </c>
      <c r="H1311" s="9">
        <f t="shared" ref="H1311:H1312" si="139">PRODUCT(D1311:G1311)</f>
        <v>1.2149999999999999</v>
      </c>
      <c r="I1311" s="10"/>
      <c r="J1311" s="18" t="s">
        <v>437</v>
      </c>
      <c r="K1311" s="19" t="s">
        <v>78</v>
      </c>
    </row>
    <row r="1312" spans="2:11">
      <c r="B1312" s="4"/>
      <c r="C1312" s="6"/>
      <c r="D1312" s="7">
        <v>1</v>
      </c>
      <c r="E1312" s="20">
        <v>3.35</v>
      </c>
      <c r="F1312" s="20"/>
      <c r="G1312" s="20">
        <v>0.75</v>
      </c>
      <c r="H1312" s="9">
        <f t="shared" si="139"/>
        <v>2.5125000000000002</v>
      </c>
      <c r="I1312" s="10"/>
      <c r="J1312" s="18" t="s">
        <v>438</v>
      </c>
      <c r="K1312" s="122" t="s">
        <v>121</v>
      </c>
    </row>
    <row r="1313" spans="2:11">
      <c r="B1313" s="4"/>
      <c r="C1313" s="6"/>
      <c r="D1313" s="7">
        <v>1</v>
      </c>
      <c r="E1313" s="20">
        <v>2.9</v>
      </c>
      <c r="F1313" s="20"/>
      <c r="G1313" s="20">
        <v>0.3</v>
      </c>
      <c r="H1313" s="9">
        <f>PRODUCT(D1313:G1313)</f>
        <v>0.87</v>
      </c>
      <c r="I1313" s="10"/>
      <c r="J1313" s="18" t="s">
        <v>439</v>
      </c>
      <c r="K1313" s="19" t="s">
        <v>78</v>
      </c>
    </row>
    <row r="1314" spans="2:11">
      <c r="B1314" s="4"/>
      <c r="C1314" s="6" t="s">
        <v>93</v>
      </c>
      <c r="D1314" s="7">
        <v>2</v>
      </c>
      <c r="E1314" s="20">
        <v>1.2</v>
      </c>
      <c r="F1314" s="20"/>
      <c r="G1314" s="20">
        <v>0.3</v>
      </c>
      <c r="H1314" s="9">
        <f t="shared" ref="H1314" si="140">PRODUCT(D1314:G1314)</f>
        <v>0.72</v>
      </c>
      <c r="I1314" s="10"/>
      <c r="J1314" s="18" t="s">
        <v>439</v>
      </c>
      <c r="K1314" s="19" t="s">
        <v>84</v>
      </c>
    </row>
    <row r="1315" spans="2:11">
      <c r="B1315" s="4"/>
      <c r="C1315" s="6"/>
      <c r="D1315" s="7"/>
      <c r="E1315" s="20"/>
      <c r="F1315" s="20"/>
      <c r="G1315" s="20"/>
      <c r="H1315" s="9"/>
      <c r="I1315" s="10"/>
      <c r="J1315" s="18"/>
      <c r="K1315" s="19"/>
    </row>
    <row r="1316" spans="2:11">
      <c r="B1316" s="4"/>
      <c r="C1316" s="6"/>
      <c r="D1316" s="7">
        <v>2</v>
      </c>
      <c r="E1316" s="20">
        <v>2.52</v>
      </c>
      <c r="F1316" s="20"/>
      <c r="G1316" s="20">
        <v>0.3</v>
      </c>
      <c r="H1316" s="9">
        <f t="shared" ref="H1316:H1324" si="141">PRODUCT(D1316:G1316)</f>
        <v>1.512</v>
      </c>
      <c r="I1316" s="10"/>
      <c r="J1316" s="18" t="s">
        <v>440</v>
      </c>
      <c r="K1316" s="19" t="s">
        <v>94</v>
      </c>
    </row>
    <row r="1317" spans="2:11">
      <c r="B1317" s="4"/>
      <c r="C1317" s="6" t="s">
        <v>92</v>
      </c>
      <c r="D1317" s="7">
        <v>2</v>
      </c>
      <c r="E1317" s="20">
        <v>4.1500000000000004</v>
      </c>
      <c r="F1317" s="20"/>
      <c r="G1317" s="20">
        <v>0.3</v>
      </c>
      <c r="H1317" s="9">
        <f t="shared" si="141"/>
        <v>2.4900000000000002</v>
      </c>
      <c r="I1317" s="10"/>
      <c r="J1317" s="18" t="s">
        <v>436</v>
      </c>
      <c r="K1317" s="19" t="s">
        <v>78</v>
      </c>
    </row>
    <row r="1318" spans="2:11">
      <c r="B1318" s="4"/>
      <c r="C1318" s="6"/>
      <c r="D1318" s="7">
        <v>2</v>
      </c>
      <c r="E1318" s="20">
        <v>2</v>
      </c>
      <c r="F1318" s="20"/>
      <c r="G1318" s="20">
        <v>0.3</v>
      </c>
      <c r="H1318" s="9">
        <f t="shared" si="141"/>
        <v>1.2</v>
      </c>
      <c r="I1318" s="10"/>
      <c r="J1318" s="18" t="s">
        <v>437</v>
      </c>
      <c r="K1318" s="19" t="s">
        <v>78</v>
      </c>
    </row>
    <row r="1319" spans="2:11">
      <c r="B1319" s="4"/>
      <c r="C1319" s="6"/>
      <c r="D1319" s="7">
        <v>2</v>
      </c>
      <c r="E1319" s="20">
        <v>0.4</v>
      </c>
      <c r="F1319" s="20"/>
      <c r="G1319" s="20">
        <v>0.3</v>
      </c>
      <c r="H1319" s="9">
        <f t="shared" si="141"/>
        <v>0.24</v>
      </c>
      <c r="I1319" s="10"/>
      <c r="J1319" s="18" t="s">
        <v>437</v>
      </c>
      <c r="K1319" s="19" t="s">
        <v>78</v>
      </c>
    </row>
    <row r="1320" spans="2:11">
      <c r="B1320" s="4"/>
      <c r="C1320" s="6"/>
      <c r="D1320" s="7">
        <v>0</v>
      </c>
      <c r="E1320" s="20">
        <v>1.5</v>
      </c>
      <c r="F1320" s="20"/>
      <c r="G1320" s="20">
        <v>0.3</v>
      </c>
      <c r="H1320" s="9">
        <f t="shared" si="141"/>
        <v>0</v>
      </c>
      <c r="I1320" s="10"/>
      <c r="J1320" s="18" t="s">
        <v>437</v>
      </c>
      <c r="K1320" s="19" t="s">
        <v>83</v>
      </c>
    </row>
    <row r="1321" spans="2:11">
      <c r="B1321" s="4"/>
      <c r="C1321" s="6"/>
      <c r="D1321" s="7">
        <v>2</v>
      </c>
      <c r="E1321" s="20">
        <v>2.9</v>
      </c>
      <c r="F1321" s="20"/>
      <c r="G1321" s="20">
        <v>0.3</v>
      </c>
      <c r="H1321" s="9">
        <f t="shared" si="141"/>
        <v>1.74</v>
      </c>
      <c r="I1321" s="10"/>
      <c r="J1321" s="18" t="s">
        <v>441</v>
      </c>
      <c r="K1321" s="19" t="s">
        <v>78</v>
      </c>
    </row>
    <row r="1322" spans="2:11">
      <c r="B1322" s="4"/>
      <c r="C1322" s="6"/>
      <c r="D1322" s="7">
        <v>1</v>
      </c>
      <c r="E1322" s="20">
        <v>3.35</v>
      </c>
      <c r="F1322" s="20"/>
      <c r="G1322" s="20">
        <v>0.9</v>
      </c>
      <c r="H1322" s="9">
        <f t="shared" si="141"/>
        <v>3.0150000000000001</v>
      </c>
      <c r="I1322" s="10"/>
      <c r="J1322" s="18" t="s">
        <v>438</v>
      </c>
      <c r="K1322" s="122" t="s">
        <v>442</v>
      </c>
    </row>
    <row r="1323" spans="2:11">
      <c r="B1323" s="4"/>
      <c r="C1323" s="6"/>
      <c r="D1323" s="7">
        <v>2</v>
      </c>
      <c r="E1323" s="20">
        <v>1.8</v>
      </c>
      <c r="F1323" s="20"/>
      <c r="G1323" s="20">
        <v>0.3</v>
      </c>
      <c r="H1323" s="9">
        <f t="shared" si="141"/>
        <v>1.08</v>
      </c>
      <c r="I1323" s="10"/>
      <c r="J1323" s="18" t="s">
        <v>439</v>
      </c>
      <c r="K1323" s="19" t="s">
        <v>84</v>
      </c>
    </row>
    <row r="1324" spans="2:11">
      <c r="B1324" s="4"/>
      <c r="C1324" s="6"/>
      <c r="D1324" s="7">
        <v>2</v>
      </c>
      <c r="E1324" s="20">
        <v>2.4700000000000002</v>
      </c>
      <c r="F1324" s="20"/>
      <c r="G1324" s="20">
        <v>0.3</v>
      </c>
      <c r="H1324" s="9">
        <f t="shared" si="141"/>
        <v>1.482</v>
      </c>
      <c r="I1324" s="10"/>
      <c r="J1324" s="18" t="s">
        <v>440</v>
      </c>
      <c r="K1324" s="19" t="s">
        <v>94</v>
      </c>
    </row>
    <row r="1325" spans="2:11">
      <c r="B1325" s="4"/>
      <c r="C1325" s="6" t="s">
        <v>90</v>
      </c>
      <c r="D1325" s="7">
        <v>2</v>
      </c>
      <c r="E1325" s="20">
        <v>1.1000000000000001</v>
      </c>
      <c r="F1325" s="20"/>
      <c r="G1325" s="20">
        <v>0.3</v>
      </c>
      <c r="H1325" s="9">
        <f>PRODUCT(D1325:G1325)</f>
        <v>0.66</v>
      </c>
      <c r="I1325" s="10"/>
      <c r="J1325" s="18" t="s">
        <v>443</v>
      </c>
      <c r="K1325" s="19" t="s">
        <v>84</v>
      </c>
    </row>
    <row r="1326" spans="2:11">
      <c r="B1326" s="4"/>
      <c r="C1326" s="6"/>
      <c r="D1326" s="7">
        <v>0</v>
      </c>
      <c r="E1326" s="20">
        <v>0.9</v>
      </c>
      <c r="F1326" s="20"/>
      <c r="G1326" s="20">
        <v>0.5</v>
      </c>
      <c r="H1326" s="9">
        <f>PRODUCT(D1326:G1326)</f>
        <v>0</v>
      </c>
      <c r="I1326" s="10"/>
      <c r="J1326" s="18" t="s">
        <v>443</v>
      </c>
      <c r="K1326" s="19" t="s">
        <v>83</v>
      </c>
    </row>
    <row r="1327" spans="2:11">
      <c r="B1327" s="4"/>
      <c r="C1327" s="6"/>
      <c r="D1327" s="7">
        <v>2</v>
      </c>
      <c r="E1327" s="20">
        <v>0.9</v>
      </c>
      <c r="F1327" s="20"/>
      <c r="G1327" s="20">
        <v>0.8</v>
      </c>
      <c r="H1327" s="9">
        <v>0.3</v>
      </c>
      <c r="I1327" s="10"/>
      <c r="J1327" s="18" t="s">
        <v>444</v>
      </c>
      <c r="K1327" s="19" t="s">
        <v>84</v>
      </c>
    </row>
    <row r="1328" spans="2:11">
      <c r="B1328" s="4"/>
      <c r="C1328" s="6"/>
      <c r="D1328" s="7">
        <v>0</v>
      </c>
      <c r="E1328" s="20">
        <v>1</v>
      </c>
      <c r="F1328" s="20"/>
      <c r="G1328" s="20">
        <v>0.5</v>
      </c>
      <c r="H1328" s="9">
        <f t="shared" ref="H1328" si="142">PRODUCT(D1328:G1328)</f>
        <v>0</v>
      </c>
      <c r="I1328" s="10"/>
      <c r="J1328" s="18" t="s">
        <v>444</v>
      </c>
      <c r="K1328" s="19" t="s">
        <v>83</v>
      </c>
    </row>
    <row r="1329" spans="2:11">
      <c r="B1329" s="4"/>
      <c r="C1329" s="6"/>
      <c r="D1329" s="7">
        <v>0</v>
      </c>
      <c r="E1329" s="20">
        <v>1</v>
      </c>
      <c r="F1329" s="20"/>
      <c r="G1329" s="20">
        <v>0.5</v>
      </c>
      <c r="H1329" s="9">
        <f>PRODUCT(D1329:G1329)</f>
        <v>0</v>
      </c>
      <c r="I1329" s="10"/>
      <c r="J1329" s="18" t="s">
        <v>444</v>
      </c>
      <c r="K1329" s="19" t="s">
        <v>83</v>
      </c>
    </row>
    <row r="1330" spans="2:11">
      <c r="B1330" s="4"/>
      <c r="C1330" s="6"/>
      <c r="D1330" s="7">
        <v>2</v>
      </c>
      <c r="E1330" s="20">
        <v>0.9</v>
      </c>
      <c r="F1330" s="20"/>
      <c r="G1330" s="20">
        <v>0.3</v>
      </c>
      <c r="H1330" s="9">
        <f>PRODUCT(D1330:G1330)</f>
        <v>0.54</v>
      </c>
      <c r="I1330" s="10"/>
      <c r="J1330" s="18" t="s">
        <v>444</v>
      </c>
      <c r="K1330" s="19" t="s">
        <v>84</v>
      </c>
    </row>
    <row r="1331" spans="2:11">
      <c r="B1331" s="4"/>
      <c r="C1331" s="40"/>
      <c r="D1331" s="7">
        <v>0</v>
      </c>
      <c r="E1331" s="20">
        <v>2.2999999999999998</v>
      </c>
      <c r="F1331" s="20"/>
      <c r="G1331" s="20">
        <v>0.5</v>
      </c>
      <c r="H1331" s="9">
        <f t="shared" ref="H1331:H1350" si="143">PRODUCT(D1331:G1331)</f>
        <v>0</v>
      </c>
      <c r="I1331" s="10"/>
      <c r="J1331" s="18" t="s">
        <v>445</v>
      </c>
      <c r="K1331" s="19" t="s">
        <v>83</v>
      </c>
    </row>
    <row r="1332" spans="2:11">
      <c r="B1332" s="4"/>
      <c r="C1332" s="40" t="s">
        <v>89</v>
      </c>
      <c r="D1332" s="7">
        <v>1</v>
      </c>
      <c r="E1332" s="20">
        <v>2.9</v>
      </c>
      <c r="F1332" s="20"/>
      <c r="G1332" s="20">
        <v>0.3</v>
      </c>
      <c r="H1332" s="9">
        <f t="shared" si="143"/>
        <v>0.87</v>
      </c>
      <c r="I1332" s="10"/>
      <c r="J1332" s="18" t="s">
        <v>446</v>
      </c>
      <c r="K1332" s="19" t="s">
        <v>78</v>
      </c>
    </row>
    <row r="1333" spans="2:11">
      <c r="B1333" s="4"/>
      <c r="C1333" s="40"/>
      <c r="D1333" s="7">
        <v>1</v>
      </c>
      <c r="E1333" s="20">
        <v>1.9</v>
      </c>
      <c r="F1333" s="20"/>
      <c r="G1333" s="20">
        <v>0.3</v>
      </c>
      <c r="H1333" s="9">
        <f t="shared" si="143"/>
        <v>0.56999999999999995</v>
      </c>
      <c r="I1333" s="10"/>
      <c r="J1333" s="18" t="s">
        <v>443</v>
      </c>
      <c r="K1333" s="19" t="s">
        <v>78</v>
      </c>
    </row>
    <row r="1334" spans="2:11">
      <c r="B1334" s="4"/>
      <c r="C1334" s="40"/>
      <c r="D1334" s="7">
        <v>1</v>
      </c>
      <c r="E1334" s="20">
        <v>1.9</v>
      </c>
      <c r="F1334" s="20"/>
      <c r="G1334" s="20">
        <v>0.3</v>
      </c>
      <c r="H1334" s="9">
        <f t="shared" si="143"/>
        <v>0.56999999999999995</v>
      </c>
      <c r="I1334" s="10"/>
      <c r="J1334" s="18" t="s">
        <v>444</v>
      </c>
      <c r="K1334" s="19" t="s">
        <v>78</v>
      </c>
    </row>
    <row r="1335" spans="2:11">
      <c r="B1335" s="4"/>
      <c r="C1335" s="40"/>
      <c r="D1335" s="7">
        <v>1</v>
      </c>
      <c r="E1335" s="20">
        <v>1.9</v>
      </c>
      <c r="F1335" s="20"/>
      <c r="G1335" s="20">
        <v>0.3</v>
      </c>
      <c r="H1335" s="9">
        <f t="shared" si="143"/>
        <v>0.56999999999999995</v>
      </c>
      <c r="I1335" s="10"/>
      <c r="J1335" s="18" t="s">
        <v>444</v>
      </c>
      <c r="K1335" s="19" t="s">
        <v>78</v>
      </c>
    </row>
    <row r="1336" spans="2:11">
      <c r="B1336" s="4"/>
      <c r="C1336" s="40"/>
      <c r="D1336" s="7">
        <v>1</v>
      </c>
      <c r="E1336" s="20">
        <v>2.2999999999999998</v>
      </c>
      <c r="F1336" s="20"/>
      <c r="G1336" s="20">
        <v>0.3</v>
      </c>
      <c r="H1336" s="9">
        <f t="shared" si="143"/>
        <v>0.69</v>
      </c>
      <c r="I1336" s="10"/>
      <c r="J1336" s="18" t="s">
        <v>445</v>
      </c>
      <c r="K1336" s="19" t="s">
        <v>78</v>
      </c>
    </row>
    <row r="1337" spans="2:11">
      <c r="B1337" s="4"/>
      <c r="C1337" s="121" t="s">
        <v>447</v>
      </c>
      <c r="D1337" s="7">
        <v>1</v>
      </c>
      <c r="E1337" s="20">
        <v>2.5</v>
      </c>
      <c r="F1337" s="20"/>
      <c r="G1337" s="20">
        <v>0.3</v>
      </c>
      <c r="H1337" s="9">
        <f t="shared" si="143"/>
        <v>0.75</v>
      </c>
      <c r="I1337" s="10"/>
      <c r="J1337" s="18" t="s">
        <v>79</v>
      </c>
      <c r="K1337" s="19" t="s">
        <v>78</v>
      </c>
    </row>
    <row r="1338" spans="2:11">
      <c r="B1338" s="4"/>
      <c r="C1338" s="40"/>
      <c r="D1338" s="7">
        <v>1</v>
      </c>
      <c r="E1338" s="20">
        <v>4.4000000000000004</v>
      </c>
      <c r="F1338" s="20"/>
      <c r="G1338" s="20">
        <v>0.3</v>
      </c>
      <c r="H1338" s="9">
        <f t="shared" si="143"/>
        <v>1.32</v>
      </c>
      <c r="I1338" s="10"/>
      <c r="J1338" s="18" t="s">
        <v>448</v>
      </c>
      <c r="K1338" s="19" t="s">
        <v>78</v>
      </c>
    </row>
    <row r="1339" spans="2:11">
      <c r="B1339" s="4"/>
      <c r="C1339" s="40" t="s">
        <v>449</v>
      </c>
      <c r="D1339" s="7">
        <v>1</v>
      </c>
      <c r="E1339" s="20">
        <v>2.8</v>
      </c>
      <c r="F1339" s="20"/>
      <c r="G1339" s="20">
        <v>0.3</v>
      </c>
      <c r="H1339" s="9">
        <f t="shared" si="143"/>
        <v>0.84</v>
      </c>
      <c r="I1339" s="10"/>
      <c r="J1339" s="18" t="s">
        <v>80</v>
      </c>
      <c r="K1339" s="19" t="s">
        <v>78</v>
      </c>
    </row>
    <row r="1340" spans="2:11">
      <c r="B1340" s="4"/>
      <c r="C1340" s="40"/>
      <c r="D1340" s="7">
        <v>1</v>
      </c>
      <c r="E1340" s="20">
        <v>1.2250000000000001</v>
      </c>
      <c r="F1340" s="20"/>
      <c r="G1340" s="20">
        <v>0.3</v>
      </c>
      <c r="H1340" s="9">
        <f t="shared" si="143"/>
        <v>0.36749999999999999</v>
      </c>
      <c r="I1340" s="10"/>
      <c r="J1340" s="18" t="s">
        <v>461</v>
      </c>
      <c r="K1340" s="19" t="s">
        <v>78</v>
      </c>
    </row>
    <row r="1341" spans="2:11">
      <c r="B1341" s="4"/>
      <c r="C1341" s="40" t="s">
        <v>77</v>
      </c>
      <c r="D1341" s="7">
        <v>2</v>
      </c>
      <c r="E1341" s="20">
        <v>2.9</v>
      </c>
      <c r="F1341" s="20"/>
      <c r="G1341" s="20">
        <v>0.3</v>
      </c>
      <c r="H1341" s="9">
        <f t="shared" si="143"/>
        <v>1.74</v>
      </c>
      <c r="I1341" s="10"/>
      <c r="J1341" s="18" t="s">
        <v>450</v>
      </c>
      <c r="K1341" s="19" t="s">
        <v>84</v>
      </c>
    </row>
    <row r="1342" spans="2:11">
      <c r="B1342" s="4"/>
      <c r="C1342" s="6"/>
      <c r="D1342" s="7">
        <v>0</v>
      </c>
      <c r="E1342" s="20">
        <v>1.23</v>
      </c>
      <c r="F1342" s="20"/>
      <c r="G1342" s="20">
        <v>0.5</v>
      </c>
      <c r="H1342" s="9">
        <f t="shared" si="143"/>
        <v>0</v>
      </c>
      <c r="I1342" s="10"/>
      <c r="J1342" s="18" t="s">
        <v>450</v>
      </c>
      <c r="K1342" s="19" t="s">
        <v>83</v>
      </c>
    </row>
    <row r="1343" spans="2:11">
      <c r="B1343" s="4"/>
      <c r="C1343" s="6"/>
      <c r="D1343" s="7">
        <v>2</v>
      </c>
      <c r="E1343" s="20">
        <v>0.75</v>
      </c>
      <c r="F1343" s="20"/>
      <c r="G1343" s="20">
        <v>0.3</v>
      </c>
      <c r="H1343" s="9">
        <f t="shared" si="143"/>
        <v>0.44999999999999996</v>
      </c>
      <c r="I1343" s="10"/>
      <c r="J1343" s="18" t="s">
        <v>79</v>
      </c>
      <c r="K1343" s="19" t="s">
        <v>84</v>
      </c>
    </row>
    <row r="1344" spans="2:11">
      <c r="B1344" s="4"/>
      <c r="C1344" s="6" t="s">
        <v>82</v>
      </c>
      <c r="D1344" s="7">
        <v>2</v>
      </c>
      <c r="E1344" s="20">
        <v>2.8</v>
      </c>
      <c r="F1344" s="20"/>
      <c r="G1344" s="20">
        <v>0.3</v>
      </c>
      <c r="H1344" s="9">
        <f t="shared" si="143"/>
        <v>1.68</v>
      </c>
      <c r="I1344" s="10"/>
      <c r="J1344" s="18" t="s">
        <v>80</v>
      </c>
      <c r="K1344" s="19" t="s">
        <v>84</v>
      </c>
    </row>
    <row r="1345" spans="2:11">
      <c r="B1345" s="4"/>
      <c r="C1345" s="6"/>
      <c r="D1345" s="7">
        <v>1</v>
      </c>
      <c r="E1345" s="20">
        <v>2.5</v>
      </c>
      <c r="F1345" s="20"/>
      <c r="G1345" s="20">
        <v>0.9</v>
      </c>
      <c r="H1345" s="9">
        <f t="shared" si="143"/>
        <v>2.25</v>
      </c>
      <c r="I1345" s="10"/>
      <c r="J1345" s="18" t="s">
        <v>79</v>
      </c>
      <c r="K1345" s="122" t="s">
        <v>442</v>
      </c>
    </row>
    <row r="1346" spans="2:11">
      <c r="B1346" s="4"/>
      <c r="C1346" s="6"/>
      <c r="D1346" s="7">
        <v>1</v>
      </c>
      <c r="E1346" s="20">
        <v>4.47</v>
      </c>
      <c r="F1346" s="20"/>
      <c r="G1346" s="20">
        <v>0.9</v>
      </c>
      <c r="H1346" s="9">
        <f t="shared" si="143"/>
        <v>4.0229999999999997</v>
      </c>
      <c r="I1346" s="10"/>
      <c r="J1346" s="18" t="s">
        <v>448</v>
      </c>
      <c r="K1346" s="122" t="s">
        <v>442</v>
      </c>
    </row>
    <row r="1347" spans="2:11">
      <c r="B1347" s="4"/>
      <c r="C1347" s="6" t="s">
        <v>451</v>
      </c>
      <c r="D1347" s="7">
        <v>2</v>
      </c>
      <c r="E1347" s="20">
        <v>3</v>
      </c>
      <c r="F1347" s="20"/>
      <c r="G1347" s="20">
        <v>0.3</v>
      </c>
      <c r="H1347" s="9">
        <f t="shared" si="143"/>
        <v>1.7999999999999998</v>
      </c>
      <c r="I1347" s="10"/>
      <c r="J1347" s="18" t="s">
        <v>80</v>
      </c>
      <c r="K1347" s="19" t="s">
        <v>84</v>
      </c>
    </row>
    <row r="1348" spans="2:11">
      <c r="B1348" s="4"/>
      <c r="C1348" s="6" t="s">
        <v>87</v>
      </c>
      <c r="D1348" s="7">
        <v>2</v>
      </c>
      <c r="E1348" s="20">
        <v>2.8</v>
      </c>
      <c r="F1348" s="20"/>
      <c r="G1348" s="20">
        <v>0.3</v>
      </c>
      <c r="H1348" s="9">
        <f t="shared" si="143"/>
        <v>1.68</v>
      </c>
      <c r="I1348" s="10"/>
      <c r="J1348" s="18" t="s">
        <v>80</v>
      </c>
      <c r="K1348" s="19" t="s">
        <v>84</v>
      </c>
    </row>
    <row r="1349" spans="2:11">
      <c r="B1349" s="4"/>
      <c r="C1349" s="6" t="s">
        <v>452</v>
      </c>
      <c r="D1349" s="7">
        <v>1</v>
      </c>
      <c r="E1349" s="20">
        <v>1.3</v>
      </c>
      <c r="F1349" s="20"/>
      <c r="G1349" s="20">
        <v>0.9</v>
      </c>
      <c r="H1349" s="9">
        <f t="shared" si="143"/>
        <v>1.1700000000000002</v>
      </c>
      <c r="I1349" s="10"/>
      <c r="J1349" s="18" t="s">
        <v>79</v>
      </c>
      <c r="K1349" s="122" t="s">
        <v>442</v>
      </c>
    </row>
    <row r="1350" spans="2:11">
      <c r="B1350" s="4"/>
      <c r="C1350" s="6"/>
      <c r="D1350" s="7">
        <v>1</v>
      </c>
      <c r="E1350" s="20">
        <v>1.2</v>
      </c>
      <c r="F1350" s="20"/>
      <c r="G1350" s="20">
        <v>0.6</v>
      </c>
      <c r="H1350" s="9">
        <f t="shared" si="143"/>
        <v>0.72</v>
      </c>
      <c r="I1350" s="10"/>
      <c r="J1350" s="18" t="s">
        <v>79</v>
      </c>
      <c r="K1350" s="122" t="s">
        <v>86</v>
      </c>
    </row>
    <row r="1351" spans="2:11">
      <c r="B1351" s="4"/>
      <c r="C1351" s="6"/>
      <c r="D1351" s="7">
        <v>1</v>
      </c>
      <c r="E1351" s="20">
        <v>4.49</v>
      </c>
      <c r="F1351" s="20"/>
      <c r="G1351" s="20">
        <v>0.9</v>
      </c>
      <c r="H1351" s="9">
        <f>PRODUCT(D1351:G1351)</f>
        <v>4.0410000000000004</v>
      </c>
      <c r="I1351" s="10"/>
      <c r="J1351" s="18" t="s">
        <v>448</v>
      </c>
      <c r="K1351" s="122" t="s">
        <v>442</v>
      </c>
    </row>
    <row r="1352" spans="2:11">
      <c r="B1352" s="4"/>
      <c r="C1352" s="6" t="s">
        <v>453</v>
      </c>
      <c r="D1352" s="7">
        <v>2</v>
      </c>
      <c r="E1352" s="20">
        <v>0.5</v>
      </c>
      <c r="F1352" s="20"/>
      <c r="G1352" s="20">
        <v>0.3</v>
      </c>
      <c r="H1352" s="9">
        <f>PRODUCT(D1352:G1352)</f>
        <v>0.3</v>
      </c>
      <c r="I1352" s="10"/>
      <c r="J1352" s="18" t="s">
        <v>79</v>
      </c>
      <c r="K1352" s="19" t="s">
        <v>84</v>
      </c>
    </row>
    <row r="1353" spans="2:11">
      <c r="B1353" s="4"/>
      <c r="C1353" s="6"/>
      <c r="D1353" s="7">
        <v>0</v>
      </c>
      <c r="E1353" s="20">
        <v>0.8</v>
      </c>
      <c r="F1353" s="20"/>
      <c r="G1353" s="20">
        <v>0.5</v>
      </c>
      <c r="H1353" s="9">
        <f>PRODUCT(D1353:G1353)</f>
        <v>0</v>
      </c>
      <c r="I1353" s="10"/>
      <c r="J1353" s="18" t="s">
        <v>79</v>
      </c>
      <c r="K1353" s="19" t="s">
        <v>83</v>
      </c>
    </row>
    <row r="1354" spans="2:11">
      <c r="B1354" s="4"/>
      <c r="C1354" s="6"/>
      <c r="D1354" s="7">
        <v>2</v>
      </c>
      <c r="E1354" s="20">
        <v>1.1499999999999999</v>
      </c>
      <c r="F1354" s="20"/>
      <c r="G1354" s="20">
        <v>0.3</v>
      </c>
      <c r="H1354" s="9">
        <f>PRODUCT(D1354:G1354)</f>
        <v>0.69</v>
      </c>
      <c r="I1354" s="10"/>
      <c r="J1354" s="18" t="s">
        <v>79</v>
      </c>
      <c r="K1354" s="19" t="s">
        <v>84</v>
      </c>
    </row>
    <row r="1355" spans="2:11">
      <c r="B1355" s="4"/>
      <c r="C1355" s="6" t="s">
        <v>88</v>
      </c>
      <c r="D1355" s="7">
        <v>2</v>
      </c>
      <c r="E1355" s="20">
        <v>2.8</v>
      </c>
      <c r="F1355" s="20"/>
      <c r="G1355" s="20">
        <v>0.3</v>
      </c>
      <c r="H1355" s="9">
        <f t="shared" ref="H1355:H1358" si="144">PRODUCT(D1355:G1355)</f>
        <v>1.68</v>
      </c>
      <c r="I1355" s="10"/>
      <c r="J1355" s="18" t="s">
        <v>80</v>
      </c>
      <c r="K1355" s="19" t="s">
        <v>78</v>
      </c>
    </row>
    <row r="1356" spans="2:11">
      <c r="B1356" s="4"/>
      <c r="C1356" s="6"/>
      <c r="D1356" s="7">
        <v>2</v>
      </c>
      <c r="E1356" s="20">
        <v>0.7</v>
      </c>
      <c r="F1356" s="20"/>
      <c r="G1356" s="20">
        <v>0.3</v>
      </c>
      <c r="H1356" s="9">
        <f t="shared" si="144"/>
        <v>0.42</v>
      </c>
      <c r="I1356" s="10"/>
      <c r="J1356" s="18" t="s">
        <v>79</v>
      </c>
      <c r="K1356" s="19" t="s">
        <v>78</v>
      </c>
    </row>
    <row r="1357" spans="2:11">
      <c r="B1357" s="4"/>
      <c r="C1357" s="6"/>
      <c r="D1357" s="7">
        <v>2</v>
      </c>
      <c r="E1357" s="20">
        <v>1.8</v>
      </c>
      <c r="F1357" s="20"/>
      <c r="G1357" s="20">
        <v>0.15</v>
      </c>
      <c r="H1357" s="9">
        <f t="shared" si="144"/>
        <v>0.54</v>
      </c>
      <c r="I1357" s="10"/>
      <c r="J1357" s="18" t="s">
        <v>79</v>
      </c>
      <c r="K1357" s="19" t="s">
        <v>85</v>
      </c>
    </row>
    <row r="1358" spans="2:11">
      <c r="B1358" s="4"/>
      <c r="C1358" s="6"/>
      <c r="D1358" s="7">
        <v>2</v>
      </c>
      <c r="E1358" s="20">
        <v>4.5199999999999996</v>
      </c>
      <c r="F1358" s="20"/>
      <c r="G1358" s="20">
        <v>0.3</v>
      </c>
      <c r="H1358" s="9">
        <f t="shared" si="144"/>
        <v>2.7119999999999997</v>
      </c>
      <c r="I1358" s="10"/>
      <c r="J1358" s="18" t="s">
        <v>448</v>
      </c>
      <c r="K1358" s="19" t="s">
        <v>78</v>
      </c>
    </row>
    <row r="1359" spans="2:11">
      <c r="B1359" s="4"/>
      <c r="C1359" s="30"/>
      <c r="D1359" s="7"/>
      <c r="E1359" s="8"/>
      <c r="F1359" s="8"/>
      <c r="G1359" s="8"/>
      <c r="H1359" s="34"/>
      <c r="I1359" s="10"/>
      <c r="J1359" s="123"/>
      <c r="K1359" s="19"/>
    </row>
    <row r="1360" spans="2:11">
      <c r="B1360" s="4"/>
      <c r="C1360" s="30"/>
      <c r="D1360" s="7"/>
      <c r="E1360" s="8"/>
      <c r="F1360" s="8"/>
      <c r="G1360" s="8"/>
      <c r="H1360" s="34"/>
      <c r="I1360" s="10"/>
      <c r="J1360" s="123"/>
      <c r="K1360" s="19"/>
    </row>
    <row r="1361" spans="2:11">
      <c r="B1361" s="4"/>
      <c r="C1361" s="30"/>
      <c r="D1361" s="7"/>
      <c r="E1361" s="8"/>
      <c r="F1361" s="8"/>
      <c r="G1361" s="8"/>
      <c r="H1361" s="34"/>
      <c r="I1361" s="138"/>
      <c r="J1361" s="123"/>
      <c r="K1361" s="19"/>
    </row>
    <row r="1362" spans="2:11">
      <c r="B1362" s="4"/>
      <c r="C1362" s="26" t="s">
        <v>147</v>
      </c>
      <c r="D1362" s="7"/>
      <c r="E1362" s="8"/>
      <c r="F1362" s="8"/>
      <c r="G1362" s="9"/>
      <c r="H1362" s="19"/>
      <c r="I1362" s="138"/>
      <c r="J1362" s="18"/>
      <c r="K1362" s="19"/>
    </row>
    <row r="1363" spans="2:11">
      <c r="B1363" s="4"/>
      <c r="C1363" s="26"/>
      <c r="D1363" s="7">
        <v>1</v>
      </c>
      <c r="E1363" s="8">
        <v>19.07</v>
      </c>
      <c r="F1363" s="8" t="s">
        <v>534</v>
      </c>
      <c r="G1363" s="8"/>
      <c r="H1363" s="19">
        <f t="shared" ref="H1363:H1364" si="145">PRODUCT(D1363:G1363)</f>
        <v>19.07</v>
      </c>
      <c r="I1363" s="138"/>
      <c r="J1363" s="18"/>
      <c r="K1363" s="19" t="s">
        <v>535</v>
      </c>
    </row>
    <row r="1364" spans="2:11">
      <c r="B1364" s="4"/>
      <c r="C1364" s="26"/>
      <c r="D1364" s="7">
        <v>1</v>
      </c>
      <c r="E1364" s="8">
        <v>13.78</v>
      </c>
      <c r="F1364" s="8" t="s">
        <v>534</v>
      </c>
      <c r="G1364" s="9"/>
      <c r="H1364" s="19">
        <f t="shared" si="145"/>
        <v>13.78</v>
      </c>
      <c r="I1364" s="138"/>
      <c r="J1364" s="18"/>
      <c r="K1364" s="19"/>
    </row>
    <row r="1365" spans="2:11">
      <c r="B1365" s="4"/>
      <c r="C1365" s="26"/>
      <c r="D1365" s="7"/>
      <c r="E1365" s="8"/>
      <c r="F1365" s="8"/>
      <c r="G1365" s="9"/>
      <c r="H1365" s="19"/>
      <c r="I1365" s="139"/>
      <c r="J1365" s="18"/>
      <c r="K1365" s="19"/>
    </row>
    <row r="1366" spans="2:11" ht="15" thickBot="1">
      <c r="B1366" s="4"/>
      <c r="C1366" s="26"/>
      <c r="D1366" s="7"/>
      <c r="E1366" s="8"/>
      <c r="F1366" s="8"/>
      <c r="G1366" s="9"/>
      <c r="H1366" s="19"/>
      <c r="I1366" s="139"/>
      <c r="J1366" s="18"/>
      <c r="K1366" s="19"/>
    </row>
    <row r="1367" spans="2:11" ht="15" thickBot="1">
      <c r="B1367" s="4"/>
      <c r="C1367" s="43" t="s">
        <v>656</v>
      </c>
      <c r="D1367" s="7"/>
      <c r="E1367" s="8"/>
      <c r="F1367" s="8"/>
      <c r="G1367" s="9"/>
      <c r="H1367" s="129"/>
      <c r="I1367" s="136">
        <f>SUM(H1368:H1432)</f>
        <v>169.56449999999998</v>
      </c>
      <c r="J1367" s="130" t="s">
        <v>19</v>
      </c>
      <c r="K1367" s="19"/>
    </row>
    <row r="1368" spans="2:11">
      <c r="B1368" s="4"/>
      <c r="C1368" s="6"/>
      <c r="D1368" s="7"/>
      <c r="E1368" s="8"/>
      <c r="F1368" s="8"/>
      <c r="G1368" s="8"/>
      <c r="H1368" s="9"/>
      <c r="I1368" s="137"/>
      <c r="J1368" s="18"/>
      <c r="K1368" s="19"/>
    </row>
    <row r="1369" spans="2:11">
      <c r="B1369" s="4"/>
      <c r="C1369" s="6" t="s">
        <v>512</v>
      </c>
      <c r="D1369" s="7">
        <v>1</v>
      </c>
      <c r="E1369" s="8">
        <v>4.1500000000000004</v>
      </c>
      <c r="F1369" s="8">
        <v>4.4000000000000004</v>
      </c>
      <c r="G1369" s="8"/>
      <c r="H1369" s="9">
        <f t="shared" ref="H1369:H1384" si="146">PRODUCT(D1369:G1369)</f>
        <v>18.260000000000002</v>
      </c>
      <c r="I1369" s="138"/>
      <c r="J1369" s="18"/>
      <c r="K1369" s="19"/>
    </row>
    <row r="1370" spans="2:11">
      <c r="B1370" s="4"/>
      <c r="C1370" s="6"/>
      <c r="D1370" s="7">
        <v>1</v>
      </c>
      <c r="E1370" s="8">
        <v>4.05</v>
      </c>
      <c r="F1370" s="8">
        <v>4.47</v>
      </c>
      <c r="G1370" s="8"/>
      <c r="H1370" s="9">
        <f t="shared" si="146"/>
        <v>18.103499999999997</v>
      </c>
      <c r="I1370" s="138"/>
      <c r="J1370" s="18"/>
      <c r="K1370" s="19"/>
    </row>
    <row r="1371" spans="2:11">
      <c r="B1371" s="4"/>
      <c r="C1371" s="6"/>
      <c r="D1371" s="7">
        <v>1</v>
      </c>
      <c r="E1371" s="8">
        <v>4.1500000000000004</v>
      </c>
      <c r="F1371" s="8">
        <v>2.5</v>
      </c>
      <c r="G1371" s="8"/>
      <c r="H1371" s="9">
        <f t="shared" si="146"/>
        <v>10.375</v>
      </c>
      <c r="I1371" s="138"/>
      <c r="J1371" s="18"/>
      <c r="K1371" s="19"/>
    </row>
    <row r="1372" spans="2:11">
      <c r="B1372" s="4"/>
      <c r="C1372" s="6"/>
      <c r="D1372" s="7">
        <v>1</v>
      </c>
      <c r="E1372" s="8">
        <v>4.05</v>
      </c>
      <c r="F1372" s="8">
        <v>2.5</v>
      </c>
      <c r="G1372" s="8"/>
      <c r="H1372" s="9">
        <f t="shared" si="146"/>
        <v>10.125</v>
      </c>
      <c r="I1372" s="138"/>
      <c r="J1372" s="18"/>
      <c r="K1372" s="19"/>
    </row>
    <row r="1373" spans="2:11">
      <c r="B1373" s="4"/>
      <c r="C1373" s="6" t="s">
        <v>106</v>
      </c>
      <c r="D1373" s="7">
        <v>1</v>
      </c>
      <c r="E1373" s="8">
        <v>3.35</v>
      </c>
      <c r="F1373" s="8">
        <v>4.51</v>
      </c>
      <c r="G1373" s="8"/>
      <c r="H1373" s="9">
        <f t="shared" si="146"/>
        <v>15.108499999999999</v>
      </c>
      <c r="I1373" s="138"/>
      <c r="J1373" s="18"/>
      <c r="K1373" s="19"/>
    </row>
    <row r="1374" spans="2:11">
      <c r="B1374" s="4"/>
      <c r="C1374" s="21"/>
      <c r="D1374" s="7">
        <v>1</v>
      </c>
      <c r="E1374" s="8">
        <v>3.35</v>
      </c>
      <c r="F1374" s="8">
        <v>2.5</v>
      </c>
      <c r="G1374" s="8"/>
      <c r="H1374" s="9">
        <f t="shared" si="146"/>
        <v>8.375</v>
      </c>
      <c r="I1374" s="138"/>
      <c r="J1374" s="18"/>
      <c r="K1374" s="19"/>
    </row>
    <row r="1375" spans="2:11">
      <c r="B1375" s="4"/>
      <c r="C1375" s="6" t="s">
        <v>134</v>
      </c>
      <c r="D1375" s="7">
        <v>1</v>
      </c>
      <c r="E1375" s="8">
        <v>1.23</v>
      </c>
      <c r="F1375" s="8">
        <v>2.9</v>
      </c>
      <c r="G1375" s="8"/>
      <c r="H1375" s="9">
        <f t="shared" si="146"/>
        <v>3.5669999999999997</v>
      </c>
      <c r="I1375" s="138"/>
      <c r="J1375" s="18"/>
      <c r="K1375" s="19"/>
    </row>
    <row r="1376" spans="2:11">
      <c r="B1376" s="4"/>
      <c r="C1376" s="21"/>
      <c r="D1376" s="7">
        <v>1</v>
      </c>
      <c r="E1376" s="8">
        <v>2.9</v>
      </c>
      <c r="F1376" s="8">
        <v>2.8</v>
      </c>
      <c r="G1376" s="8"/>
      <c r="H1376" s="9">
        <f t="shared" si="146"/>
        <v>8.1199999999999992</v>
      </c>
      <c r="I1376" s="138"/>
      <c r="J1376" s="18"/>
      <c r="K1376" s="19"/>
    </row>
    <row r="1377" spans="2:11">
      <c r="B1377" s="4"/>
      <c r="C1377" s="6" t="s">
        <v>110</v>
      </c>
      <c r="D1377" s="7">
        <v>1</v>
      </c>
      <c r="E1377" s="8">
        <v>1.9</v>
      </c>
      <c r="F1377" s="8">
        <v>2.8</v>
      </c>
      <c r="G1377" s="8"/>
      <c r="H1377" s="9">
        <f t="shared" si="146"/>
        <v>5.3199999999999994</v>
      </c>
      <c r="I1377" s="138"/>
      <c r="J1377" s="18"/>
      <c r="K1377" s="19"/>
    </row>
    <row r="1378" spans="2:11">
      <c r="B1378" s="4"/>
      <c r="C1378" s="6" t="s">
        <v>135</v>
      </c>
      <c r="D1378" s="7">
        <v>1</v>
      </c>
      <c r="E1378" s="8">
        <v>3.95</v>
      </c>
      <c r="F1378" s="8">
        <v>1.95</v>
      </c>
      <c r="G1378" s="8"/>
      <c r="H1378" s="9">
        <f t="shared" si="146"/>
        <v>7.7025000000000006</v>
      </c>
      <c r="I1378" s="138"/>
      <c r="J1378" s="18"/>
      <c r="K1378" s="19"/>
    </row>
    <row r="1379" spans="2:11">
      <c r="B1379" s="4"/>
      <c r="C1379" s="6"/>
      <c r="D1379" s="7">
        <v>1</v>
      </c>
      <c r="E1379" s="8">
        <v>1.25</v>
      </c>
      <c r="F1379" s="8">
        <v>0.6</v>
      </c>
      <c r="G1379" s="8"/>
      <c r="H1379" s="9">
        <f t="shared" si="146"/>
        <v>0.75</v>
      </c>
      <c r="I1379" s="138"/>
      <c r="J1379" s="18"/>
      <c r="K1379" s="19"/>
    </row>
    <row r="1380" spans="2:11">
      <c r="B1380" s="4"/>
      <c r="C1380" s="6"/>
      <c r="D1380" s="7">
        <v>1</v>
      </c>
      <c r="E1380" s="8">
        <v>0.6</v>
      </c>
      <c r="F1380" s="8">
        <v>1.25</v>
      </c>
      <c r="G1380" s="8"/>
      <c r="H1380" s="9">
        <f t="shared" si="146"/>
        <v>0.75</v>
      </c>
      <c r="I1380" s="138"/>
      <c r="J1380" s="18"/>
      <c r="K1380" s="19"/>
    </row>
    <row r="1381" spans="2:11" ht="15.75" customHeight="1">
      <c r="B1381" s="4"/>
      <c r="C1381" s="6" t="s">
        <v>513</v>
      </c>
      <c r="D1381" s="7">
        <v>1</v>
      </c>
      <c r="E1381" s="8">
        <v>2.8</v>
      </c>
      <c r="F1381" s="8">
        <v>2.2999999999999998</v>
      </c>
      <c r="G1381" s="8"/>
      <c r="H1381" s="9">
        <f t="shared" si="146"/>
        <v>6.4399999999999995</v>
      </c>
      <c r="I1381" s="138"/>
      <c r="J1381" s="18"/>
      <c r="K1381" s="19"/>
    </row>
    <row r="1382" spans="2:11" ht="15.75" customHeight="1">
      <c r="B1382" s="4"/>
      <c r="C1382" s="21" t="s">
        <v>514</v>
      </c>
      <c r="D1382" s="7">
        <v>1</v>
      </c>
      <c r="E1382" s="8">
        <v>1.61</v>
      </c>
      <c r="F1382" s="8">
        <v>2.9</v>
      </c>
      <c r="G1382" s="8"/>
      <c r="H1382" s="9">
        <f t="shared" si="146"/>
        <v>4.6690000000000005</v>
      </c>
      <c r="I1382" s="138"/>
      <c r="J1382" s="18"/>
      <c r="K1382" s="19"/>
    </row>
    <row r="1383" spans="2:11" ht="15.75" customHeight="1">
      <c r="B1383" s="4"/>
      <c r="C1383" s="6" t="s">
        <v>515</v>
      </c>
      <c r="D1383" s="7">
        <v>1</v>
      </c>
      <c r="E1383" s="8">
        <v>2.9</v>
      </c>
      <c r="F1383" s="8">
        <v>2.5</v>
      </c>
      <c r="G1383" s="8"/>
      <c r="H1383" s="9">
        <f t="shared" si="146"/>
        <v>7.25</v>
      </c>
      <c r="I1383" s="138"/>
      <c r="J1383" s="18"/>
      <c r="K1383" s="19"/>
    </row>
    <row r="1384" spans="2:11" ht="15.75" customHeight="1">
      <c r="B1384" s="4"/>
      <c r="C1384" s="6" t="s">
        <v>516</v>
      </c>
      <c r="D1384" s="7">
        <v>2</v>
      </c>
      <c r="E1384" s="8">
        <v>1.2</v>
      </c>
      <c r="F1384" s="8">
        <v>1.2</v>
      </c>
      <c r="G1384" s="8"/>
      <c r="H1384" s="9">
        <f t="shared" si="146"/>
        <v>2.88</v>
      </c>
      <c r="I1384" s="138"/>
      <c r="J1384" s="18"/>
      <c r="K1384" s="19"/>
    </row>
    <row r="1385" spans="2:11" ht="15.75" customHeight="1">
      <c r="B1385" s="4"/>
      <c r="C1385" s="6"/>
      <c r="D1385" s="7"/>
      <c r="E1385" s="8"/>
      <c r="F1385" s="8"/>
      <c r="G1385" s="8"/>
      <c r="H1385" s="9"/>
      <c r="I1385" s="139"/>
      <c r="J1385" s="18"/>
      <c r="K1385" s="19"/>
    </row>
    <row r="1386" spans="2:11" ht="15.75" customHeight="1">
      <c r="B1386" s="4"/>
      <c r="C1386" s="6"/>
      <c r="D1386" s="7"/>
      <c r="E1386" s="8"/>
      <c r="F1386" s="8"/>
      <c r="G1386" s="8"/>
      <c r="H1386" s="9"/>
      <c r="I1386" s="139"/>
      <c r="J1386" s="18" t="s">
        <v>51</v>
      </c>
      <c r="K1386" s="19"/>
    </row>
    <row r="1387" spans="2:11" ht="15.75" customHeight="1">
      <c r="B1387" s="4"/>
      <c r="C1387" s="21" t="s">
        <v>132</v>
      </c>
      <c r="D1387" s="7"/>
      <c r="E1387" s="8"/>
      <c r="F1387" s="8"/>
      <c r="G1387" s="8"/>
      <c r="H1387" s="9"/>
      <c r="I1387" s="10"/>
      <c r="J1387" s="18"/>
      <c r="K1387" s="19"/>
    </row>
    <row r="1388" spans="2:11" ht="15.75" customHeight="1">
      <c r="B1388" s="4"/>
      <c r="C1388" s="6" t="s">
        <v>435</v>
      </c>
      <c r="D1388" s="7">
        <v>0</v>
      </c>
      <c r="E1388" s="8">
        <v>4.1500000000000004</v>
      </c>
      <c r="F1388" s="8">
        <v>0.25</v>
      </c>
      <c r="G1388" s="8">
        <v>0.2</v>
      </c>
      <c r="H1388" s="9">
        <f>(+F1388*E1388+2*G1388*E1388)*D1388</f>
        <v>0</v>
      </c>
      <c r="I1388" s="36" t="s">
        <v>486</v>
      </c>
      <c r="J1388" s="18" t="s">
        <v>487</v>
      </c>
      <c r="K1388" s="19" t="s">
        <v>488</v>
      </c>
    </row>
    <row r="1389" spans="2:11" ht="15.75" customHeight="1">
      <c r="B1389" s="4"/>
      <c r="C1389" s="6"/>
      <c r="D1389" s="7">
        <v>0</v>
      </c>
      <c r="E1389" s="8">
        <v>4.05</v>
      </c>
      <c r="F1389" s="8">
        <v>0.25</v>
      </c>
      <c r="G1389" s="8">
        <v>0.2</v>
      </c>
      <c r="H1389" s="9">
        <f t="shared" ref="H1389:H1431" si="147">(+F1389*E1389+2*G1389*E1389)*D1389</f>
        <v>0</v>
      </c>
      <c r="I1389" s="36" t="s">
        <v>486</v>
      </c>
      <c r="J1389" s="18" t="s">
        <v>489</v>
      </c>
      <c r="K1389" s="19"/>
    </row>
    <row r="1390" spans="2:11" ht="15.75" customHeight="1">
      <c r="B1390" s="4"/>
      <c r="C1390" s="6" t="s">
        <v>93</v>
      </c>
      <c r="D1390" s="7">
        <v>1</v>
      </c>
      <c r="E1390" s="8">
        <v>4.0999999999999996</v>
      </c>
      <c r="F1390" s="8">
        <v>0.25</v>
      </c>
      <c r="G1390" s="8">
        <v>0.4</v>
      </c>
      <c r="H1390" s="9">
        <f t="shared" si="147"/>
        <v>4.3049999999999997</v>
      </c>
      <c r="I1390" s="36" t="s">
        <v>490</v>
      </c>
      <c r="J1390" s="18" t="s">
        <v>487</v>
      </c>
      <c r="K1390" s="19"/>
    </row>
    <row r="1391" spans="2:11" ht="15.75" customHeight="1">
      <c r="B1391" s="4"/>
      <c r="C1391" s="6"/>
      <c r="D1391" s="7">
        <v>1</v>
      </c>
      <c r="E1391" s="8">
        <v>4.05</v>
      </c>
      <c r="F1391" s="8">
        <v>0.25</v>
      </c>
      <c r="G1391" s="8">
        <v>0.4</v>
      </c>
      <c r="H1391" s="9">
        <f t="shared" si="147"/>
        <v>4.2525000000000004</v>
      </c>
      <c r="I1391" s="36" t="s">
        <v>490</v>
      </c>
      <c r="J1391" s="18" t="s">
        <v>489</v>
      </c>
      <c r="K1391" s="19"/>
    </row>
    <row r="1392" spans="2:11" ht="15.75" customHeight="1">
      <c r="B1392" s="4"/>
      <c r="C1392" s="6" t="s">
        <v>92</v>
      </c>
      <c r="D1392" s="7">
        <v>0</v>
      </c>
      <c r="E1392" s="8">
        <v>4.1500000000000004</v>
      </c>
      <c r="F1392" s="8">
        <v>0.25</v>
      </c>
      <c r="G1392" s="8">
        <v>0.2</v>
      </c>
      <c r="H1392" s="9">
        <f t="shared" si="147"/>
        <v>0</v>
      </c>
      <c r="I1392" s="36" t="s">
        <v>486</v>
      </c>
      <c r="J1392" s="18" t="s">
        <v>487</v>
      </c>
      <c r="K1392" s="19"/>
    </row>
    <row r="1393" spans="2:11" ht="15.75" customHeight="1">
      <c r="B1393" s="4"/>
      <c r="D1393" s="7">
        <v>0</v>
      </c>
      <c r="E1393" s="8">
        <v>4.05</v>
      </c>
      <c r="F1393" s="8">
        <v>0.25</v>
      </c>
      <c r="G1393" s="8">
        <v>0.2</v>
      </c>
      <c r="H1393" s="9">
        <f t="shared" si="147"/>
        <v>0</v>
      </c>
      <c r="I1393" s="36" t="s">
        <v>486</v>
      </c>
      <c r="J1393" s="18" t="s">
        <v>489</v>
      </c>
      <c r="K1393" s="19"/>
    </row>
    <row r="1394" spans="2:11" ht="15.75" customHeight="1">
      <c r="B1394" s="4"/>
      <c r="C1394" s="6" t="s">
        <v>447</v>
      </c>
      <c r="D1394" s="7">
        <v>0</v>
      </c>
      <c r="E1394" s="8">
        <v>2.5099999999999998</v>
      </c>
      <c r="F1394" s="8">
        <v>0.25</v>
      </c>
      <c r="G1394" s="8">
        <v>0.2</v>
      </c>
      <c r="H1394" s="9">
        <f t="shared" si="147"/>
        <v>0</v>
      </c>
      <c r="I1394" s="36" t="s">
        <v>486</v>
      </c>
      <c r="J1394" s="18" t="s">
        <v>79</v>
      </c>
      <c r="K1394" s="19" t="s">
        <v>491</v>
      </c>
    </row>
    <row r="1395" spans="2:11" ht="15.75" customHeight="1">
      <c r="B1395" s="4"/>
      <c r="C1395" s="6"/>
      <c r="D1395" s="7">
        <v>0</v>
      </c>
      <c r="E1395" s="8">
        <v>4.46</v>
      </c>
      <c r="F1395" s="8">
        <v>0.25</v>
      </c>
      <c r="G1395" s="8">
        <v>0.2</v>
      </c>
      <c r="H1395" s="9">
        <f t="shared" si="147"/>
        <v>0</v>
      </c>
      <c r="I1395" s="36" t="s">
        <v>486</v>
      </c>
      <c r="J1395" s="18" t="s">
        <v>448</v>
      </c>
      <c r="K1395" s="19"/>
    </row>
    <row r="1396" spans="2:11" ht="15.75" customHeight="1">
      <c r="B1396" s="4"/>
      <c r="C1396" s="6" t="s">
        <v>492</v>
      </c>
      <c r="D1396" s="7">
        <v>1</v>
      </c>
      <c r="E1396" s="8">
        <v>7.21</v>
      </c>
      <c r="F1396" s="8">
        <v>0.25</v>
      </c>
      <c r="G1396" s="8">
        <v>0.7</v>
      </c>
      <c r="H1396" s="9">
        <f t="shared" si="147"/>
        <v>11.8965</v>
      </c>
      <c r="I1396" s="36" t="s">
        <v>493</v>
      </c>
      <c r="J1396" s="18" t="s">
        <v>494</v>
      </c>
      <c r="K1396" s="19"/>
    </row>
    <row r="1397" spans="2:11" ht="15.75" customHeight="1">
      <c r="B1397" s="4"/>
      <c r="C1397" s="6" t="s">
        <v>82</v>
      </c>
      <c r="D1397" s="7">
        <v>0</v>
      </c>
      <c r="E1397" s="8">
        <v>2.5099999999999998</v>
      </c>
      <c r="F1397" s="8">
        <v>0.25</v>
      </c>
      <c r="G1397" s="8">
        <v>0.2</v>
      </c>
      <c r="H1397" s="9">
        <f t="shared" si="147"/>
        <v>0</v>
      </c>
      <c r="I1397" s="36" t="s">
        <v>486</v>
      </c>
      <c r="J1397" s="18" t="s">
        <v>79</v>
      </c>
      <c r="K1397" s="19"/>
    </row>
    <row r="1398" spans="2:11" ht="15.75" customHeight="1">
      <c r="B1398" s="4"/>
      <c r="C1398" s="6"/>
      <c r="D1398" s="7">
        <v>0</v>
      </c>
      <c r="E1398" s="8">
        <v>4.46</v>
      </c>
      <c r="F1398" s="8">
        <v>0.25</v>
      </c>
      <c r="G1398" s="8">
        <v>0.2</v>
      </c>
      <c r="H1398" s="9">
        <f t="shared" si="147"/>
        <v>0</v>
      </c>
      <c r="I1398" s="36" t="s">
        <v>486</v>
      </c>
      <c r="J1398" s="18" t="s">
        <v>448</v>
      </c>
      <c r="K1398" s="19"/>
    </row>
    <row r="1399" spans="2:11" ht="15.75" customHeight="1">
      <c r="B1399" s="4"/>
      <c r="C1399" s="6"/>
      <c r="D1399" s="7"/>
      <c r="E1399" s="8"/>
      <c r="F1399" s="8"/>
      <c r="G1399" s="8"/>
      <c r="H1399" s="9"/>
      <c r="I1399" s="36"/>
      <c r="J1399" s="18"/>
      <c r="K1399" s="19"/>
    </row>
    <row r="1400" spans="2:11" ht="15.75" customHeight="1">
      <c r="B1400" s="4"/>
      <c r="C1400" s="6" t="s">
        <v>495</v>
      </c>
      <c r="D1400" s="7">
        <v>0</v>
      </c>
      <c r="E1400" s="8">
        <v>3.35</v>
      </c>
      <c r="F1400" s="8">
        <v>0.25</v>
      </c>
      <c r="G1400" s="8">
        <v>0.2</v>
      </c>
      <c r="H1400" s="9">
        <f t="shared" si="147"/>
        <v>0</v>
      </c>
      <c r="I1400" s="36" t="s">
        <v>486</v>
      </c>
      <c r="J1400" s="18" t="s">
        <v>438</v>
      </c>
      <c r="K1400" s="19" t="s">
        <v>496</v>
      </c>
    </row>
    <row r="1401" spans="2:11" ht="15.75" customHeight="1">
      <c r="B1401" s="4"/>
      <c r="C1401" s="6"/>
      <c r="D1401" s="7">
        <v>0</v>
      </c>
      <c r="E1401" s="8">
        <v>2.9</v>
      </c>
      <c r="F1401" s="8">
        <v>0.25</v>
      </c>
      <c r="G1401" s="8">
        <v>0.2</v>
      </c>
      <c r="H1401" s="9">
        <f t="shared" si="147"/>
        <v>0</v>
      </c>
      <c r="I1401" s="36" t="s">
        <v>486</v>
      </c>
      <c r="J1401" s="18" t="s">
        <v>439</v>
      </c>
      <c r="K1401" s="19"/>
    </row>
    <row r="1402" spans="2:11" ht="15.75" customHeight="1">
      <c r="B1402" s="4"/>
      <c r="C1402" s="6" t="s">
        <v>497</v>
      </c>
      <c r="D1402" s="7">
        <v>0</v>
      </c>
      <c r="E1402" s="8">
        <v>2.9</v>
      </c>
      <c r="F1402" s="8">
        <v>0.25</v>
      </c>
      <c r="G1402" s="8">
        <v>0.2</v>
      </c>
      <c r="H1402" s="9">
        <f t="shared" si="147"/>
        <v>0</v>
      </c>
      <c r="I1402" s="36" t="s">
        <v>486</v>
      </c>
      <c r="J1402" s="18" t="s">
        <v>439</v>
      </c>
      <c r="K1402" s="19"/>
    </row>
    <row r="1403" spans="2:11" ht="15.75" customHeight="1">
      <c r="B1403" s="4"/>
      <c r="C1403" s="6"/>
      <c r="D1403" s="7">
        <v>0</v>
      </c>
      <c r="E1403" s="8">
        <v>2.9</v>
      </c>
      <c r="F1403" s="8">
        <v>0.25</v>
      </c>
      <c r="G1403" s="8">
        <v>0.2</v>
      </c>
      <c r="H1403" s="9">
        <f t="shared" si="147"/>
        <v>0</v>
      </c>
      <c r="I1403" s="36" t="s">
        <v>486</v>
      </c>
      <c r="J1403" s="18" t="s">
        <v>439</v>
      </c>
      <c r="K1403" s="19"/>
    </row>
    <row r="1404" spans="2:11" ht="15.75" customHeight="1">
      <c r="B1404" s="4"/>
      <c r="C1404" s="6" t="s">
        <v>93</v>
      </c>
      <c r="D1404" s="7">
        <v>1</v>
      </c>
      <c r="E1404" s="8">
        <v>3.25</v>
      </c>
      <c r="F1404" s="8">
        <v>0.25</v>
      </c>
      <c r="G1404" s="8">
        <v>0.4</v>
      </c>
      <c r="H1404" s="9">
        <f t="shared" si="147"/>
        <v>3.4125000000000001</v>
      </c>
      <c r="I1404" s="36" t="s">
        <v>490</v>
      </c>
      <c r="J1404" s="18" t="s">
        <v>438</v>
      </c>
      <c r="K1404" s="19"/>
    </row>
    <row r="1405" spans="2:11" ht="15.75" customHeight="1">
      <c r="B1405" s="4"/>
      <c r="C1405" s="6"/>
      <c r="D1405" s="7">
        <v>1</v>
      </c>
      <c r="E1405" s="8">
        <v>2.85</v>
      </c>
      <c r="F1405" s="8">
        <v>0.25</v>
      </c>
      <c r="G1405" s="8">
        <v>0.4</v>
      </c>
      <c r="H1405" s="9">
        <f t="shared" si="147"/>
        <v>2.9925000000000002</v>
      </c>
      <c r="I1405" s="36" t="s">
        <v>490</v>
      </c>
      <c r="J1405" s="18" t="s">
        <v>439</v>
      </c>
      <c r="K1405" s="19"/>
    </row>
    <row r="1406" spans="2:11" ht="15.75" customHeight="1">
      <c r="B1406" s="4"/>
      <c r="C1406" s="6"/>
      <c r="D1406" s="7">
        <v>0</v>
      </c>
      <c r="E1406" s="8">
        <v>2.52</v>
      </c>
      <c r="F1406" s="8">
        <v>0.15</v>
      </c>
      <c r="G1406" s="8">
        <v>0.2</v>
      </c>
      <c r="H1406" s="9">
        <f t="shared" si="147"/>
        <v>0</v>
      </c>
      <c r="I1406" s="36" t="s">
        <v>498</v>
      </c>
      <c r="J1406" s="18" t="s">
        <v>146</v>
      </c>
      <c r="K1406" s="19"/>
    </row>
    <row r="1407" spans="2:11" ht="15.75" customHeight="1">
      <c r="B1407" s="4"/>
      <c r="C1407" s="6" t="s">
        <v>92</v>
      </c>
      <c r="D1407" s="7">
        <v>0</v>
      </c>
      <c r="E1407" s="8">
        <v>3.35</v>
      </c>
      <c r="F1407" s="8">
        <v>0.25</v>
      </c>
      <c r="G1407" s="8">
        <v>0.2</v>
      </c>
      <c r="H1407" s="9">
        <f t="shared" si="147"/>
        <v>0</v>
      </c>
      <c r="I1407" s="36" t="s">
        <v>486</v>
      </c>
      <c r="J1407" s="18" t="s">
        <v>438</v>
      </c>
      <c r="K1407" s="19"/>
    </row>
    <row r="1408" spans="2:11" ht="15.75" customHeight="1">
      <c r="B1408" s="4"/>
      <c r="C1408" s="6"/>
      <c r="D1408" s="7">
        <v>1</v>
      </c>
      <c r="E1408" s="8">
        <v>2.9</v>
      </c>
      <c r="F1408" s="8">
        <v>0.25</v>
      </c>
      <c r="G1408" s="8">
        <v>0.4</v>
      </c>
      <c r="H1408" s="9">
        <f t="shared" si="147"/>
        <v>3.0449999999999999</v>
      </c>
      <c r="I1408" s="36" t="s">
        <v>499</v>
      </c>
      <c r="J1408" s="18" t="s">
        <v>439</v>
      </c>
      <c r="K1408" s="19"/>
    </row>
    <row r="1409" spans="2:11" ht="15.75" customHeight="1">
      <c r="B1409" s="4"/>
      <c r="C1409" s="6"/>
      <c r="D1409" s="7">
        <v>0</v>
      </c>
      <c r="E1409" s="8">
        <v>2.52</v>
      </c>
      <c r="F1409" s="8">
        <v>0.15</v>
      </c>
      <c r="G1409" s="8">
        <v>0.2</v>
      </c>
      <c r="H1409" s="9">
        <f t="shared" si="147"/>
        <v>0</v>
      </c>
      <c r="I1409" s="36" t="s">
        <v>498</v>
      </c>
      <c r="J1409" s="18" t="s">
        <v>146</v>
      </c>
      <c r="K1409" s="19"/>
    </row>
    <row r="1410" spans="2:11" ht="15.75" customHeight="1">
      <c r="B1410" s="4"/>
      <c r="C1410" s="6" t="s">
        <v>91</v>
      </c>
      <c r="D1410" s="7">
        <v>0</v>
      </c>
      <c r="E1410" s="8">
        <v>2.9</v>
      </c>
      <c r="F1410" s="8">
        <v>0.25</v>
      </c>
      <c r="G1410" s="8">
        <v>0.2</v>
      </c>
      <c r="H1410" s="9">
        <f t="shared" si="147"/>
        <v>0</v>
      </c>
      <c r="I1410" s="36" t="s">
        <v>500</v>
      </c>
      <c r="J1410" s="18" t="s">
        <v>446</v>
      </c>
      <c r="K1410" s="19"/>
    </row>
    <row r="1411" spans="2:11" ht="15.75" customHeight="1">
      <c r="B1411" s="4"/>
      <c r="C1411" s="6" t="s">
        <v>90</v>
      </c>
      <c r="D1411" s="7">
        <v>1</v>
      </c>
      <c r="E1411" s="8">
        <v>5.05</v>
      </c>
      <c r="F1411" s="8">
        <v>0.25</v>
      </c>
      <c r="G1411" s="8">
        <v>0.4</v>
      </c>
      <c r="H1411" s="9">
        <f t="shared" si="147"/>
        <v>5.3025000000000002</v>
      </c>
      <c r="I1411" s="36" t="s">
        <v>501</v>
      </c>
      <c r="J1411" s="18" t="s">
        <v>502</v>
      </c>
      <c r="K1411" s="19"/>
    </row>
    <row r="1412" spans="2:11" ht="15.75" customHeight="1">
      <c r="B1412" s="4"/>
      <c r="C1412" s="6"/>
      <c r="D1412" s="7">
        <v>1</v>
      </c>
      <c r="E1412" s="8">
        <v>3.95</v>
      </c>
      <c r="F1412" s="8">
        <v>0.25</v>
      </c>
      <c r="G1412" s="8">
        <v>0.4</v>
      </c>
      <c r="H1412" s="9">
        <f t="shared" si="147"/>
        <v>4.1475</v>
      </c>
      <c r="I1412" s="36" t="s">
        <v>501</v>
      </c>
      <c r="J1412" s="18" t="s">
        <v>444</v>
      </c>
      <c r="K1412" s="19"/>
    </row>
    <row r="1413" spans="2:11" ht="15.75" customHeight="1">
      <c r="B1413" s="4"/>
      <c r="C1413" s="6"/>
      <c r="D1413" s="7">
        <v>1</v>
      </c>
      <c r="E1413" s="8">
        <v>2.2999999999999998</v>
      </c>
      <c r="F1413" s="8">
        <v>0.25</v>
      </c>
      <c r="G1413" s="8">
        <v>0.4</v>
      </c>
      <c r="H1413" s="9">
        <f t="shared" si="147"/>
        <v>2.415</v>
      </c>
      <c r="I1413" s="36" t="s">
        <v>501</v>
      </c>
      <c r="J1413" s="18" t="s">
        <v>445</v>
      </c>
      <c r="K1413" s="19"/>
    </row>
    <row r="1414" spans="2:11" ht="15.75" customHeight="1">
      <c r="B1414" s="4"/>
      <c r="C1414" s="6" t="s">
        <v>89</v>
      </c>
      <c r="D1414" s="7">
        <v>0</v>
      </c>
      <c r="E1414" s="8">
        <v>2.9</v>
      </c>
      <c r="F1414" s="8">
        <v>0.25</v>
      </c>
      <c r="G1414" s="8">
        <v>0.2</v>
      </c>
      <c r="H1414" s="9">
        <f t="shared" si="147"/>
        <v>0</v>
      </c>
      <c r="I1414" s="36" t="s">
        <v>500</v>
      </c>
      <c r="J1414" s="18" t="s">
        <v>446</v>
      </c>
      <c r="K1414" s="19"/>
    </row>
    <row r="1415" spans="2:11" ht="15.75" customHeight="1">
      <c r="B1415" s="4"/>
      <c r="C1415" s="6"/>
      <c r="D1415" s="7">
        <v>0</v>
      </c>
      <c r="E1415" s="8">
        <v>1.9</v>
      </c>
      <c r="F1415" s="8">
        <v>0.25</v>
      </c>
      <c r="G1415" s="8">
        <v>0.2</v>
      </c>
      <c r="H1415" s="9">
        <f t="shared" si="147"/>
        <v>0</v>
      </c>
      <c r="I1415" s="36" t="s">
        <v>500</v>
      </c>
      <c r="J1415" s="18" t="s">
        <v>443</v>
      </c>
      <c r="K1415" s="19"/>
    </row>
    <row r="1416" spans="2:11" ht="15.75" customHeight="1">
      <c r="B1416" s="4"/>
      <c r="C1416" s="6"/>
      <c r="D1416" s="7">
        <v>0</v>
      </c>
      <c r="E1416" s="8">
        <v>3.95</v>
      </c>
      <c r="F1416" s="8">
        <v>0.25</v>
      </c>
      <c r="G1416" s="8">
        <v>0.2</v>
      </c>
      <c r="H1416" s="9">
        <f t="shared" si="147"/>
        <v>0</v>
      </c>
      <c r="I1416" s="36" t="s">
        <v>500</v>
      </c>
      <c r="J1416" s="18" t="s">
        <v>444</v>
      </c>
      <c r="K1416" s="19"/>
    </row>
    <row r="1417" spans="2:11" ht="15.75" customHeight="1">
      <c r="B1417" s="4"/>
      <c r="C1417" s="6" t="s">
        <v>503</v>
      </c>
      <c r="D1417" s="7">
        <v>0</v>
      </c>
      <c r="E1417" s="8">
        <v>3.95</v>
      </c>
      <c r="F1417" s="8">
        <v>0.25</v>
      </c>
      <c r="G1417" s="8">
        <v>0.2</v>
      </c>
      <c r="H1417" s="9">
        <f t="shared" si="147"/>
        <v>0</v>
      </c>
      <c r="I1417" s="36" t="s">
        <v>500</v>
      </c>
      <c r="J1417" s="18" t="s">
        <v>444</v>
      </c>
      <c r="K1417" s="19"/>
    </row>
    <row r="1418" spans="2:11" ht="15.75" customHeight="1">
      <c r="B1418" s="4"/>
      <c r="C1418" s="6"/>
      <c r="D1418" s="7">
        <v>0</v>
      </c>
      <c r="E1418" s="8">
        <v>2.2999999999999998</v>
      </c>
      <c r="F1418" s="8">
        <v>0.25</v>
      </c>
      <c r="G1418" s="8">
        <v>0.2</v>
      </c>
      <c r="H1418" s="9">
        <f t="shared" si="147"/>
        <v>0</v>
      </c>
      <c r="I1418" s="36" t="s">
        <v>500</v>
      </c>
      <c r="J1418" s="18" t="s">
        <v>445</v>
      </c>
      <c r="K1418" s="19"/>
    </row>
    <row r="1419" spans="2:11" ht="15.75" customHeight="1">
      <c r="B1419" s="4"/>
      <c r="C1419" s="6" t="s">
        <v>449</v>
      </c>
      <c r="D1419" s="7">
        <v>0</v>
      </c>
      <c r="E1419" s="8">
        <v>2.81</v>
      </c>
      <c r="F1419" s="8">
        <v>0.25</v>
      </c>
      <c r="G1419" s="8">
        <v>0.2</v>
      </c>
      <c r="H1419" s="9">
        <f t="shared" si="147"/>
        <v>0</v>
      </c>
      <c r="I1419" s="36" t="s">
        <v>500</v>
      </c>
      <c r="J1419" s="18" t="s">
        <v>80</v>
      </c>
      <c r="K1419" s="19" t="s">
        <v>491</v>
      </c>
    </row>
    <row r="1420" spans="2:11" ht="15.75" customHeight="1">
      <c r="B1420" s="4"/>
      <c r="C1420" s="6"/>
      <c r="D1420" s="7">
        <v>0</v>
      </c>
      <c r="E1420" s="8">
        <v>1.23</v>
      </c>
      <c r="F1420" s="8">
        <v>0.25</v>
      </c>
      <c r="G1420" s="8">
        <v>0.2</v>
      </c>
      <c r="H1420" s="9">
        <f t="shared" si="147"/>
        <v>0</v>
      </c>
      <c r="I1420" s="36" t="s">
        <v>500</v>
      </c>
      <c r="J1420" s="18" t="s">
        <v>81</v>
      </c>
      <c r="K1420" s="19"/>
    </row>
    <row r="1421" spans="2:11" ht="15.75" customHeight="1">
      <c r="B1421" s="4"/>
      <c r="C1421" t="s">
        <v>77</v>
      </c>
      <c r="D1421" s="7">
        <v>0</v>
      </c>
      <c r="E1421" s="8">
        <v>2.81</v>
      </c>
      <c r="F1421" s="8">
        <v>0.25</v>
      </c>
      <c r="G1421" s="8">
        <v>0.2</v>
      </c>
      <c r="H1421" s="9">
        <f t="shared" si="147"/>
        <v>0</v>
      </c>
      <c r="I1421" s="36" t="s">
        <v>500</v>
      </c>
      <c r="J1421" s="18" t="s">
        <v>80</v>
      </c>
      <c r="K1421" s="19"/>
    </row>
    <row r="1422" spans="2:11" ht="15.75" customHeight="1">
      <c r="B1422" s="4"/>
      <c r="C1422" s="6"/>
      <c r="D1422" s="7">
        <v>0</v>
      </c>
      <c r="E1422" s="8">
        <v>1.23</v>
      </c>
      <c r="F1422" s="8">
        <v>0.25</v>
      </c>
      <c r="G1422" s="8">
        <v>0.2</v>
      </c>
      <c r="H1422" s="9">
        <f t="shared" si="147"/>
        <v>0</v>
      </c>
      <c r="I1422" s="36" t="s">
        <v>500</v>
      </c>
      <c r="J1422" s="18" t="s">
        <v>81</v>
      </c>
      <c r="K1422" s="19"/>
    </row>
    <row r="1423" spans="2:11" ht="15.75" customHeight="1">
      <c r="B1423" s="4"/>
      <c r="C1423" s="6" t="s">
        <v>82</v>
      </c>
      <c r="D1423" s="7">
        <v>0</v>
      </c>
      <c r="E1423" s="8">
        <v>2.81</v>
      </c>
      <c r="F1423" s="8">
        <v>0.25</v>
      </c>
      <c r="G1423" s="8">
        <v>0.2</v>
      </c>
      <c r="H1423" s="9">
        <f t="shared" si="147"/>
        <v>0</v>
      </c>
      <c r="I1423" s="36" t="s">
        <v>500</v>
      </c>
      <c r="J1423" s="18" t="s">
        <v>80</v>
      </c>
      <c r="K1423" s="19"/>
    </row>
    <row r="1424" spans="2:11" ht="15.75" customHeight="1">
      <c r="B1424" s="4"/>
      <c r="C1424" s="6"/>
      <c r="D1424" s="7">
        <v>0</v>
      </c>
      <c r="E1424" s="8">
        <v>2.5099999999999998</v>
      </c>
      <c r="F1424" s="8">
        <v>0.25</v>
      </c>
      <c r="G1424" s="8">
        <v>0.2</v>
      </c>
      <c r="H1424" s="9">
        <f t="shared" si="147"/>
        <v>0</v>
      </c>
      <c r="I1424" s="36" t="s">
        <v>486</v>
      </c>
      <c r="J1424" s="18" t="s">
        <v>79</v>
      </c>
      <c r="K1424" s="19"/>
    </row>
    <row r="1425" spans="2:11" ht="15.75" customHeight="1">
      <c r="B1425" s="4"/>
      <c r="C1425" s="6"/>
      <c r="D1425" s="7">
        <v>0</v>
      </c>
      <c r="E1425" s="8">
        <v>4.53</v>
      </c>
      <c r="F1425" s="8">
        <v>0.25</v>
      </c>
      <c r="G1425" s="8">
        <v>0.2</v>
      </c>
      <c r="H1425" s="9">
        <f t="shared" si="147"/>
        <v>0</v>
      </c>
      <c r="I1425" s="36" t="s">
        <v>486</v>
      </c>
      <c r="J1425" s="18" t="s">
        <v>448</v>
      </c>
      <c r="K1425" s="19"/>
    </row>
    <row r="1426" spans="2:11" ht="15.75" customHeight="1">
      <c r="B1426" s="4"/>
      <c r="C1426" s="6" t="s">
        <v>452</v>
      </c>
      <c r="D1426" s="7">
        <v>0</v>
      </c>
      <c r="E1426" s="8">
        <v>2.5099999999999998</v>
      </c>
      <c r="F1426" s="8">
        <v>0.25</v>
      </c>
      <c r="G1426" s="8">
        <v>0.2</v>
      </c>
      <c r="H1426" s="9">
        <f t="shared" si="147"/>
        <v>0</v>
      </c>
      <c r="I1426" s="36" t="s">
        <v>486</v>
      </c>
      <c r="J1426" s="18" t="s">
        <v>79</v>
      </c>
      <c r="K1426" s="19"/>
    </row>
    <row r="1427" spans="2:11" ht="15.75" customHeight="1">
      <c r="B1427" s="4"/>
      <c r="C1427" s="30"/>
      <c r="D1427" s="7">
        <v>0</v>
      </c>
      <c r="E1427" s="8">
        <v>4.53</v>
      </c>
      <c r="F1427" s="8">
        <v>0.25</v>
      </c>
      <c r="G1427" s="8">
        <v>0.2</v>
      </c>
      <c r="H1427" s="9">
        <f t="shared" si="147"/>
        <v>0</v>
      </c>
      <c r="I1427" s="36" t="s">
        <v>486</v>
      </c>
      <c r="J1427" s="18" t="s">
        <v>448</v>
      </c>
      <c r="K1427" s="19"/>
    </row>
    <row r="1428" spans="2:11" ht="15.75" customHeight="1">
      <c r="B1428" s="4"/>
      <c r="C1428" s="125" t="s">
        <v>87</v>
      </c>
      <c r="D1428" s="7">
        <v>0</v>
      </c>
      <c r="E1428" s="8">
        <v>2.81</v>
      </c>
      <c r="F1428" s="8">
        <v>0.25</v>
      </c>
      <c r="G1428" s="8">
        <v>0.2</v>
      </c>
      <c r="H1428" s="9">
        <f t="shared" si="147"/>
        <v>0</v>
      </c>
      <c r="I1428" s="36" t="s">
        <v>500</v>
      </c>
      <c r="J1428" s="18" t="s">
        <v>80</v>
      </c>
      <c r="K1428" s="19"/>
    </row>
    <row r="1429" spans="2:11" ht="15.75" customHeight="1">
      <c r="B1429" s="4"/>
      <c r="C1429" s="125" t="s">
        <v>88</v>
      </c>
      <c r="D1429" s="7">
        <v>0</v>
      </c>
      <c r="E1429" s="8">
        <v>2.81</v>
      </c>
      <c r="F1429" s="8">
        <v>0.25</v>
      </c>
      <c r="G1429" s="8">
        <v>0.2</v>
      </c>
      <c r="H1429" s="9">
        <f t="shared" si="147"/>
        <v>0</v>
      </c>
      <c r="I1429" s="36" t="s">
        <v>500</v>
      </c>
      <c r="J1429" s="18" t="s">
        <v>80</v>
      </c>
      <c r="K1429" s="19"/>
    </row>
    <row r="1430" spans="2:11" ht="15.75" customHeight="1">
      <c r="B1430" s="4"/>
      <c r="C1430" s="39"/>
      <c r="D1430" s="7">
        <v>0</v>
      </c>
      <c r="E1430" s="8">
        <v>2.5099999999999998</v>
      </c>
      <c r="F1430" s="8">
        <v>0.25</v>
      </c>
      <c r="G1430" s="8">
        <v>0.2</v>
      </c>
      <c r="H1430" s="9">
        <f t="shared" si="147"/>
        <v>0</v>
      </c>
      <c r="I1430" s="36" t="s">
        <v>486</v>
      </c>
      <c r="J1430" s="18" t="s">
        <v>79</v>
      </c>
      <c r="K1430" s="19"/>
    </row>
    <row r="1431" spans="2:11" ht="15.75" customHeight="1">
      <c r="B1431" s="4"/>
      <c r="C1431" s="39"/>
      <c r="D1431" s="7">
        <v>0</v>
      </c>
      <c r="E1431" s="8">
        <v>4.53</v>
      </c>
      <c r="F1431" s="8">
        <v>0.25</v>
      </c>
      <c r="G1431" s="8">
        <v>0.2</v>
      </c>
      <c r="H1431" s="9">
        <f t="shared" si="147"/>
        <v>0</v>
      </c>
      <c r="I1431" s="36" t="s">
        <v>486</v>
      </c>
      <c r="J1431" s="18" t="s">
        <v>448</v>
      </c>
      <c r="K1431" s="19"/>
    </row>
    <row r="1432" spans="2:11" ht="15.75" customHeight="1" thickBot="1">
      <c r="B1432" s="4"/>
      <c r="C1432" s="6"/>
      <c r="D1432" s="7"/>
      <c r="E1432" s="8"/>
      <c r="F1432" s="8"/>
      <c r="G1432" s="8"/>
      <c r="H1432" s="9"/>
      <c r="I1432" s="139"/>
      <c r="J1432" s="18"/>
      <c r="K1432" s="19"/>
    </row>
    <row r="1433" spans="2:11" ht="15.75" customHeight="1" thickBot="1">
      <c r="B1433" s="4"/>
      <c r="C1433" s="26"/>
      <c r="D1433" s="7"/>
      <c r="E1433" s="8"/>
      <c r="F1433" s="8"/>
      <c r="G1433" s="9"/>
      <c r="H1433" s="129"/>
      <c r="I1433" s="136">
        <f>SUM(H1434:H1435)</f>
        <v>8.379999999999999</v>
      </c>
      <c r="J1433" s="130" t="s">
        <v>19</v>
      </c>
      <c r="K1433" s="19"/>
    </row>
    <row r="1434" spans="2:11">
      <c r="B1434" s="4"/>
      <c r="C1434" s="26" t="s">
        <v>144</v>
      </c>
      <c r="D1434" s="7">
        <v>1</v>
      </c>
      <c r="E1434" s="8" t="s">
        <v>120</v>
      </c>
      <c r="F1434" s="8">
        <v>3.86</v>
      </c>
      <c r="G1434" s="9"/>
      <c r="H1434" s="9">
        <f t="shared" ref="H1434:H1435" si="148">PRODUCT(D1434:G1434)</f>
        <v>3.86</v>
      </c>
      <c r="I1434" s="137"/>
      <c r="J1434" s="18"/>
      <c r="K1434" s="19"/>
    </row>
    <row r="1435" spans="2:11">
      <c r="B1435" s="4"/>
      <c r="C1435" s="26"/>
      <c r="D1435" s="7">
        <v>1</v>
      </c>
      <c r="E1435" s="8" t="s">
        <v>120</v>
      </c>
      <c r="F1435" s="8">
        <v>4.5199999999999996</v>
      </c>
      <c r="G1435" s="9"/>
      <c r="H1435" s="9">
        <f t="shared" si="148"/>
        <v>4.5199999999999996</v>
      </c>
      <c r="I1435" s="137"/>
      <c r="J1435" s="18"/>
      <c r="K1435" s="19"/>
    </row>
    <row r="1436" spans="2:11" ht="15" thickBot="1">
      <c r="B1436" s="4">
        <v>22</v>
      </c>
      <c r="C1436" s="195" t="s">
        <v>34</v>
      </c>
      <c r="D1436" s="195"/>
      <c r="E1436" s="195"/>
      <c r="F1436" s="195"/>
      <c r="G1436" s="195"/>
      <c r="H1436" s="195"/>
      <c r="I1436" s="128"/>
      <c r="J1436" s="5"/>
      <c r="K1436" s="5"/>
    </row>
    <row r="1437" spans="2:11" ht="15" thickBot="1">
      <c r="B1437" s="4"/>
      <c r="C1437" s="43" t="s">
        <v>657</v>
      </c>
      <c r="D1437" s="7"/>
      <c r="E1437" s="8"/>
      <c r="F1437" s="8"/>
      <c r="G1437" s="8"/>
      <c r="H1437" s="151"/>
      <c r="I1437" s="136">
        <f>SUM(H1439:H1452)</f>
        <v>169.76800000000003</v>
      </c>
      <c r="J1437" s="130" t="s">
        <v>19</v>
      </c>
      <c r="K1437" s="19"/>
    </row>
    <row r="1438" spans="2:11">
      <c r="B1438" s="4"/>
      <c r="C1438" s="26"/>
      <c r="D1438" s="7"/>
      <c r="E1438" s="8"/>
      <c r="F1438" s="8"/>
      <c r="G1438" s="8"/>
      <c r="H1438" s="9"/>
      <c r="I1438" s="137"/>
      <c r="J1438" s="18"/>
      <c r="K1438" s="19"/>
    </row>
    <row r="1439" spans="2:11">
      <c r="B1439" s="4"/>
      <c r="C1439" s="6" t="s">
        <v>133</v>
      </c>
      <c r="D1439" s="7">
        <v>1</v>
      </c>
      <c r="E1439" s="8" t="s">
        <v>120</v>
      </c>
      <c r="F1439" s="8">
        <v>63.018000000000001</v>
      </c>
      <c r="G1439" s="8"/>
      <c r="H1439" s="9">
        <f t="shared" ref="H1439:H1451" si="149">PRODUCT(D1439:G1439)</f>
        <v>63.018000000000001</v>
      </c>
      <c r="I1439" s="138"/>
      <c r="J1439" s="18"/>
      <c r="K1439" s="19"/>
    </row>
    <row r="1440" spans="2:11">
      <c r="B1440" s="4"/>
      <c r="C1440" s="6"/>
      <c r="D1440" s="7"/>
      <c r="E1440" s="8"/>
      <c r="F1440" s="8"/>
      <c r="G1440" s="8"/>
      <c r="H1440" s="9"/>
      <c r="I1440" s="138"/>
      <c r="J1440" s="18"/>
      <c r="K1440" s="19"/>
    </row>
    <row r="1441" spans="2:11">
      <c r="B1441" s="4"/>
      <c r="C1441" s="6" t="s">
        <v>106</v>
      </c>
      <c r="D1441" s="7">
        <v>1</v>
      </c>
      <c r="E1441" s="8" t="s">
        <v>120</v>
      </c>
      <c r="F1441" s="8">
        <v>23.37</v>
      </c>
      <c r="G1441" s="8"/>
      <c r="H1441" s="9">
        <f t="shared" si="149"/>
        <v>23.37</v>
      </c>
      <c r="I1441" s="138"/>
      <c r="J1441" s="18"/>
      <c r="K1441" s="19"/>
    </row>
    <row r="1442" spans="2:11">
      <c r="B1442" s="4"/>
      <c r="C1442" s="6" t="s">
        <v>134</v>
      </c>
      <c r="D1442" s="7">
        <v>1</v>
      </c>
      <c r="E1442" s="8" t="s">
        <v>120</v>
      </c>
      <c r="F1442" s="8">
        <v>13.56</v>
      </c>
      <c r="G1442" s="8"/>
      <c r="H1442" s="9">
        <f t="shared" si="149"/>
        <v>13.56</v>
      </c>
      <c r="I1442" s="138"/>
      <c r="J1442" s="18"/>
      <c r="K1442" s="19"/>
    </row>
    <row r="1443" spans="2:11">
      <c r="B1443" s="4"/>
      <c r="C1443" s="6" t="s">
        <v>110</v>
      </c>
      <c r="D1443" s="7">
        <v>1</v>
      </c>
      <c r="E1443" s="8" t="s">
        <v>120</v>
      </c>
      <c r="F1443" s="8">
        <v>6.13</v>
      </c>
      <c r="G1443" s="8"/>
      <c r="H1443" s="9">
        <f t="shared" si="149"/>
        <v>6.13</v>
      </c>
      <c r="I1443" s="138"/>
      <c r="J1443" s="18"/>
      <c r="K1443" s="19"/>
    </row>
    <row r="1444" spans="2:11">
      <c r="B1444" s="4"/>
      <c r="C1444" s="6"/>
      <c r="D1444" s="7"/>
      <c r="E1444" s="8"/>
      <c r="F1444" s="8"/>
      <c r="G1444" s="8"/>
      <c r="H1444" s="9"/>
      <c r="I1444" s="138"/>
      <c r="J1444" s="18"/>
      <c r="K1444" s="19"/>
    </row>
    <row r="1445" spans="2:11">
      <c r="B1445" s="4"/>
      <c r="C1445" s="6" t="s">
        <v>135</v>
      </c>
      <c r="D1445" s="7">
        <v>2</v>
      </c>
      <c r="E1445" s="8" t="s">
        <v>120</v>
      </c>
      <c r="F1445" s="8">
        <v>6.13</v>
      </c>
      <c r="G1445" s="8"/>
      <c r="H1445" s="9">
        <f t="shared" ref="H1445" si="150">PRODUCT(D1445:G1445)</f>
        <v>12.26</v>
      </c>
      <c r="I1445" s="138"/>
      <c r="J1445" s="18"/>
      <c r="K1445" s="19"/>
    </row>
    <row r="1446" spans="2:11">
      <c r="B1446" s="4"/>
      <c r="C1446" s="6" t="s">
        <v>136</v>
      </c>
      <c r="D1446" s="7">
        <v>1</v>
      </c>
      <c r="E1446" s="8" t="s">
        <v>120</v>
      </c>
      <c r="F1446" s="8">
        <v>14.31</v>
      </c>
      <c r="G1446" s="8"/>
      <c r="H1446" s="9">
        <f t="shared" si="149"/>
        <v>14.31</v>
      </c>
      <c r="I1446" s="138"/>
      <c r="J1446" s="18"/>
      <c r="K1446" s="19"/>
    </row>
    <row r="1447" spans="2:11">
      <c r="B1447" s="4"/>
      <c r="C1447" s="6"/>
      <c r="D1447" s="7">
        <v>-1</v>
      </c>
      <c r="E1447" s="8" t="s">
        <v>120</v>
      </c>
      <c r="F1447" s="8">
        <v>7.35</v>
      </c>
      <c r="G1447" s="8"/>
      <c r="H1447" s="9">
        <f t="shared" si="149"/>
        <v>-7.35</v>
      </c>
      <c r="I1447" s="138"/>
      <c r="J1447" s="18"/>
      <c r="K1447" s="19"/>
    </row>
    <row r="1448" spans="2:11">
      <c r="B1448" s="4"/>
      <c r="C1448" s="6" t="s">
        <v>148</v>
      </c>
      <c r="D1448" s="7">
        <v>1</v>
      </c>
      <c r="E1448" s="8" t="s">
        <v>120</v>
      </c>
      <c r="F1448" s="8">
        <v>17.989999999999998</v>
      </c>
      <c r="G1448" s="8"/>
      <c r="H1448" s="9">
        <f t="shared" si="149"/>
        <v>17.989999999999998</v>
      </c>
      <c r="I1448" s="138"/>
      <c r="J1448" s="18"/>
      <c r="K1448" s="19"/>
    </row>
    <row r="1449" spans="2:11">
      <c r="B1449" s="4"/>
      <c r="C1449" s="6"/>
      <c r="D1449" s="7"/>
      <c r="E1449" s="8"/>
      <c r="F1449" s="8"/>
      <c r="G1449" s="8"/>
      <c r="H1449" s="9"/>
      <c r="I1449" s="138"/>
      <c r="J1449" s="18"/>
      <c r="K1449" s="19"/>
    </row>
    <row r="1450" spans="2:11">
      <c r="B1450" s="4"/>
      <c r="C1450" s="6" t="s">
        <v>536</v>
      </c>
      <c r="D1450" s="7">
        <v>1</v>
      </c>
      <c r="E1450" s="8" t="s">
        <v>120</v>
      </c>
      <c r="F1450" s="8">
        <v>11.27</v>
      </c>
      <c r="G1450" s="8"/>
      <c r="H1450" s="9">
        <f t="shared" si="149"/>
        <v>11.27</v>
      </c>
      <c r="I1450" s="138"/>
      <c r="J1450" s="18"/>
      <c r="K1450" s="19"/>
    </row>
    <row r="1451" spans="2:11">
      <c r="B1451" s="4"/>
      <c r="C1451" s="6" t="s">
        <v>518</v>
      </c>
      <c r="D1451" s="7">
        <v>1</v>
      </c>
      <c r="E1451" s="8" t="s">
        <v>120</v>
      </c>
      <c r="F1451" s="8">
        <v>7.52</v>
      </c>
      <c r="G1451" s="8"/>
      <c r="H1451" s="9">
        <f t="shared" si="149"/>
        <v>7.52</v>
      </c>
      <c r="I1451" s="138"/>
      <c r="J1451" s="18"/>
      <c r="K1451" s="19"/>
    </row>
    <row r="1452" spans="2:11">
      <c r="B1452" s="4"/>
      <c r="C1452" s="6" t="s">
        <v>546</v>
      </c>
      <c r="D1452" s="7">
        <v>1</v>
      </c>
      <c r="E1452" s="8" t="s">
        <v>120</v>
      </c>
      <c r="F1452" s="8">
        <v>7.69</v>
      </c>
      <c r="G1452" s="8"/>
      <c r="H1452" s="9">
        <f t="shared" ref="H1452" si="151">PRODUCT(D1452:G1452)</f>
        <v>7.69</v>
      </c>
      <c r="I1452" s="138"/>
      <c r="J1452" s="18"/>
      <c r="K1452" s="19"/>
    </row>
    <row r="1453" spans="2:11">
      <c r="B1453" s="4"/>
      <c r="C1453" s="6"/>
      <c r="D1453" s="7"/>
      <c r="E1453" s="8"/>
      <c r="F1453" s="8"/>
      <c r="G1453" s="8"/>
      <c r="H1453" s="9"/>
      <c r="I1453" s="138"/>
      <c r="J1453" s="18"/>
      <c r="K1453" s="19"/>
    </row>
    <row r="1454" spans="2:11" ht="15" thickBot="1">
      <c r="B1454" s="4"/>
      <c r="C1454" s="6"/>
      <c r="D1454" s="7"/>
      <c r="E1454" s="8"/>
      <c r="F1454" s="8"/>
      <c r="G1454" s="8"/>
      <c r="H1454" s="9"/>
      <c r="I1454" s="139"/>
      <c r="J1454" s="18"/>
      <c r="K1454" s="19"/>
    </row>
    <row r="1455" spans="2:11" ht="15" thickBot="1">
      <c r="B1455" s="4"/>
      <c r="C1455" s="31" t="s">
        <v>149</v>
      </c>
      <c r="D1455" s="7">
        <v>1</v>
      </c>
      <c r="E1455" s="8">
        <f>+H1439+H1442+H1443+H1445+H1448+H1451</f>
        <v>120.47799999999999</v>
      </c>
      <c r="F1455" s="8"/>
      <c r="G1455" s="8"/>
      <c r="H1455" s="151">
        <f t="shared" ref="H1455" si="152">PRODUCT(D1455:G1455)</f>
        <v>120.47799999999999</v>
      </c>
      <c r="I1455" s="136">
        <f>SUM(H1455)</f>
        <v>120.47799999999999</v>
      </c>
      <c r="J1455" s="130" t="s">
        <v>19</v>
      </c>
      <c r="K1455" s="19"/>
    </row>
    <row r="1456" spans="2:11">
      <c r="B1456" s="4"/>
      <c r="C1456" s="6"/>
      <c r="D1456" s="7"/>
      <c r="E1456" s="8"/>
      <c r="F1456" s="8"/>
      <c r="G1456" s="8"/>
      <c r="H1456" s="9"/>
      <c r="I1456" s="137"/>
      <c r="J1456" s="18"/>
      <c r="K1456" s="19"/>
    </row>
    <row r="1457" spans="2:11" ht="15" thickBot="1">
      <c r="B1457" s="4"/>
      <c r="C1457" s="6"/>
      <c r="D1457" s="7"/>
      <c r="E1457" s="8"/>
      <c r="F1457" s="8"/>
      <c r="G1457" s="8"/>
      <c r="H1457" s="9"/>
      <c r="I1457" s="139"/>
      <c r="J1457" s="18"/>
      <c r="K1457" s="19"/>
    </row>
    <row r="1458" spans="2:11" ht="15" thickBot="1">
      <c r="B1458" s="4"/>
      <c r="C1458" s="31" t="s">
        <v>150</v>
      </c>
      <c r="D1458" s="7">
        <v>1</v>
      </c>
      <c r="E1458" s="8">
        <f>+H1450+H1446+H1447+H1441+H1452</f>
        <v>49.289999999999992</v>
      </c>
      <c r="F1458" s="8"/>
      <c r="G1458" s="8"/>
      <c r="H1458" s="151">
        <f t="shared" ref="H1458" si="153">PRODUCT(D1458:G1458)</f>
        <v>49.289999999999992</v>
      </c>
      <c r="I1458" s="136">
        <f>SUM(H1458:H1459)</f>
        <v>49.289999999999992</v>
      </c>
      <c r="J1458" s="130" t="s">
        <v>19</v>
      </c>
      <c r="K1458" s="19"/>
    </row>
    <row r="1459" spans="2:11">
      <c r="B1459" s="4"/>
      <c r="C1459" s="6"/>
      <c r="D1459" s="7"/>
      <c r="E1459" s="8"/>
      <c r="F1459" s="8"/>
      <c r="G1459" s="8"/>
      <c r="H1459" s="9"/>
      <c r="I1459" s="137"/>
      <c r="J1459" s="18"/>
      <c r="K1459" s="19"/>
    </row>
    <row r="1460" spans="2:11" ht="15" thickBot="1">
      <c r="B1460" s="4"/>
      <c r="C1460" s="6"/>
      <c r="D1460" s="7"/>
      <c r="E1460" s="8"/>
      <c r="F1460" s="8"/>
      <c r="G1460" s="8"/>
      <c r="H1460" s="9"/>
      <c r="I1460" s="139"/>
      <c r="J1460" s="18"/>
      <c r="K1460" s="19"/>
    </row>
    <row r="1461" spans="2:11" ht="15" thickBot="1">
      <c r="B1461" s="4"/>
      <c r="C1461" s="31" t="s">
        <v>547</v>
      </c>
      <c r="D1461" s="7">
        <v>1</v>
      </c>
      <c r="E1461" s="8">
        <v>21.12</v>
      </c>
      <c r="F1461" s="8"/>
      <c r="G1461" s="8"/>
      <c r="H1461" s="151">
        <f t="shared" ref="H1461:H1462" si="154">PRODUCT(D1461:G1461)</f>
        <v>21.12</v>
      </c>
      <c r="I1461" s="136">
        <f>SUM(H1461:H1462)</f>
        <v>35.200000000000003</v>
      </c>
      <c r="J1461" s="130" t="s">
        <v>19</v>
      </c>
      <c r="K1461" s="19" t="s">
        <v>548</v>
      </c>
    </row>
    <row r="1462" spans="2:11">
      <c r="B1462" s="4"/>
      <c r="C1462" s="6"/>
      <c r="D1462" s="7">
        <v>1</v>
      </c>
      <c r="E1462" s="8">
        <v>14.08</v>
      </c>
      <c r="F1462" s="8"/>
      <c r="G1462" s="8"/>
      <c r="H1462" s="9">
        <f t="shared" si="154"/>
        <v>14.08</v>
      </c>
      <c r="I1462" s="137"/>
      <c r="J1462" s="18"/>
      <c r="K1462" s="19"/>
    </row>
    <row r="1463" spans="2:11">
      <c r="B1463" s="4"/>
      <c r="C1463" s="6"/>
      <c r="D1463" s="7"/>
      <c r="E1463" s="8"/>
      <c r="F1463" s="8"/>
      <c r="G1463" s="8"/>
      <c r="H1463" s="9"/>
      <c r="I1463" s="138"/>
      <c r="J1463" s="18"/>
      <c r="K1463" s="19"/>
    </row>
    <row r="1464" spans="2:11">
      <c r="B1464" s="4"/>
      <c r="C1464" s="6"/>
      <c r="D1464" s="7"/>
      <c r="E1464" s="8"/>
      <c r="F1464" s="8"/>
      <c r="G1464" s="8"/>
      <c r="H1464" s="9"/>
      <c r="I1464" s="138"/>
      <c r="J1464" s="18"/>
      <c r="K1464" s="19"/>
    </row>
    <row r="1465" spans="2:11">
      <c r="B1465" s="13"/>
      <c r="C1465" s="6"/>
      <c r="D1465" s="7"/>
      <c r="E1465" s="8"/>
      <c r="F1465" s="8"/>
      <c r="G1465" s="8"/>
      <c r="H1465" s="9"/>
      <c r="I1465" s="138"/>
      <c r="J1465" s="18"/>
      <c r="K1465" s="19"/>
    </row>
    <row r="1466" spans="2:11" ht="15" thickBot="1">
      <c r="B1466" s="4">
        <v>23</v>
      </c>
      <c r="C1466" s="194" t="s">
        <v>35</v>
      </c>
      <c r="D1466" s="195"/>
      <c r="E1466" s="195"/>
      <c r="F1466" s="195"/>
      <c r="G1466" s="195"/>
      <c r="H1466" s="195"/>
      <c r="I1466" s="128"/>
      <c r="J1466" s="5"/>
      <c r="K1466" s="5"/>
    </row>
    <row r="1467" spans="2:11" ht="15" thickBot="1">
      <c r="B1467" s="13"/>
      <c r="C1467" s="45" t="s">
        <v>274</v>
      </c>
      <c r="D1467" s="7">
        <v>2</v>
      </c>
      <c r="E1467" s="8">
        <v>9.3000000000000007</v>
      </c>
      <c r="F1467" s="8"/>
      <c r="G1467" s="8">
        <v>1.2</v>
      </c>
      <c r="H1467" s="151"/>
      <c r="I1467" s="136">
        <f>PRODUCT(D1467:H1467)</f>
        <v>22.32</v>
      </c>
      <c r="J1467" s="130" t="s">
        <v>19</v>
      </c>
      <c r="K1467" s="19"/>
    </row>
    <row r="1468" spans="2:11">
      <c r="B1468" s="13"/>
      <c r="C1468" s="131"/>
      <c r="D1468" s="7"/>
      <c r="E1468" s="8"/>
      <c r="F1468" s="8"/>
      <c r="G1468" s="8"/>
      <c r="H1468" s="9"/>
      <c r="I1468" s="137"/>
      <c r="J1468" s="18"/>
      <c r="K1468" s="19"/>
    </row>
    <row r="1469" spans="2:11" ht="15" thickBot="1">
      <c r="B1469" s="13"/>
      <c r="C1469" s="14"/>
      <c r="D1469" s="7"/>
      <c r="E1469" s="8"/>
      <c r="F1469" s="8"/>
      <c r="G1469" s="8"/>
      <c r="H1469" s="9"/>
      <c r="I1469" s="139"/>
      <c r="J1469" s="18"/>
      <c r="K1469" s="19"/>
    </row>
    <row r="1470" spans="2:11" ht="15" thickBot="1">
      <c r="B1470" s="13"/>
      <c r="C1470" s="45" t="s">
        <v>537</v>
      </c>
      <c r="D1470" s="7"/>
      <c r="E1470" s="8"/>
      <c r="F1470" s="8"/>
      <c r="G1470" s="8"/>
      <c r="H1470" s="151"/>
      <c r="I1470" s="136">
        <f>SUM(H1471:H1482)</f>
        <v>84.27000000000001</v>
      </c>
      <c r="J1470" s="130" t="s">
        <v>11</v>
      </c>
      <c r="K1470" s="19"/>
    </row>
    <row r="1471" spans="2:11">
      <c r="B1471" s="13"/>
      <c r="C1471" s="32" t="s">
        <v>105</v>
      </c>
      <c r="D1471" s="7">
        <v>1</v>
      </c>
      <c r="E1471" s="8">
        <f>35.76-1.9</f>
        <v>33.86</v>
      </c>
      <c r="F1471" s="8"/>
      <c r="G1471" s="8"/>
      <c r="H1471" s="9">
        <f t="shared" ref="H1471:H1474" si="155">PRODUCT(D1471:G1471)</f>
        <v>33.86</v>
      </c>
      <c r="I1471" s="137"/>
      <c r="J1471" s="18"/>
      <c r="K1471" s="19"/>
    </row>
    <row r="1472" spans="2:11">
      <c r="B1472" s="13"/>
      <c r="C1472" s="33"/>
      <c r="D1472" s="7"/>
      <c r="E1472" s="8"/>
      <c r="F1472" s="8"/>
      <c r="G1472" s="8"/>
      <c r="H1472" s="9"/>
      <c r="I1472" s="138"/>
      <c r="J1472" s="18"/>
      <c r="K1472" s="19"/>
    </row>
    <row r="1473" spans="2:11">
      <c r="B1473" s="13"/>
      <c r="C1473" s="33" t="s">
        <v>145</v>
      </c>
      <c r="D1473" s="7">
        <v>1</v>
      </c>
      <c r="E1473" s="8">
        <f>26.68-1.9-1.23-0.9-1-1-2.3-1.5-0.8-1.2</f>
        <v>14.850000000000001</v>
      </c>
      <c r="F1473" s="8"/>
      <c r="G1473" s="8"/>
      <c r="H1473" s="9">
        <f t="shared" si="155"/>
        <v>14.850000000000001</v>
      </c>
      <c r="I1473" s="138"/>
      <c r="J1473" s="18"/>
      <c r="K1473" s="19"/>
    </row>
    <row r="1474" spans="2:11">
      <c r="B1474" s="13"/>
      <c r="C1474" s="33"/>
      <c r="D1474" s="7">
        <v>1</v>
      </c>
      <c r="E1474" s="8">
        <f>1.95+1</f>
        <v>2.95</v>
      </c>
      <c r="F1474" s="8"/>
      <c r="G1474" s="8"/>
      <c r="H1474" s="9">
        <f t="shared" si="155"/>
        <v>2.95</v>
      </c>
      <c r="I1474" s="138"/>
      <c r="J1474" s="18"/>
      <c r="K1474" s="19"/>
    </row>
    <row r="1475" spans="2:11">
      <c r="B1475" s="13"/>
      <c r="C1475" s="33" t="s">
        <v>134</v>
      </c>
      <c r="D1475" s="7">
        <v>1</v>
      </c>
      <c r="E1475" s="8">
        <f>15.64-1.23</f>
        <v>14.41</v>
      </c>
      <c r="F1475" s="8"/>
      <c r="G1475" s="8"/>
      <c r="H1475" s="9">
        <f>PRODUCT(D1475:G1475)</f>
        <v>14.41</v>
      </c>
      <c r="I1475" s="138"/>
      <c r="J1475" s="18"/>
      <c r="K1475" s="19"/>
    </row>
    <row r="1476" spans="2:11">
      <c r="B1476" s="13"/>
      <c r="C1476" s="33"/>
      <c r="D1476" s="7"/>
      <c r="E1476" s="8"/>
      <c r="F1476" s="8"/>
      <c r="G1476" s="8"/>
      <c r="H1476" s="9"/>
      <c r="I1476" s="138"/>
      <c r="J1476" s="18"/>
      <c r="K1476" s="19"/>
    </row>
    <row r="1477" spans="2:11">
      <c r="B1477" s="13"/>
      <c r="C1477" s="33"/>
      <c r="D1477" s="7"/>
      <c r="E1477" s="8"/>
      <c r="F1477" s="8"/>
      <c r="G1477" s="8"/>
      <c r="H1477" s="9"/>
      <c r="I1477" s="138"/>
      <c r="J1477" s="18"/>
      <c r="K1477" s="19"/>
    </row>
    <row r="1478" spans="2:11">
      <c r="B1478" s="13"/>
      <c r="C1478" s="33" t="s">
        <v>109</v>
      </c>
      <c r="D1478" s="7">
        <v>1</v>
      </c>
      <c r="E1478" s="8">
        <f>11.1-2.3</f>
        <v>8.8000000000000007</v>
      </c>
      <c r="F1478" s="8"/>
      <c r="G1478" s="8"/>
      <c r="H1478" s="9">
        <f t="shared" ref="H1478" si="156">PRODUCT(D1478:G1478)</f>
        <v>8.8000000000000007</v>
      </c>
      <c r="I1478" s="138"/>
      <c r="J1478" s="18"/>
      <c r="K1478" s="19"/>
    </row>
    <row r="1479" spans="2:11">
      <c r="B1479" s="13"/>
      <c r="C1479" s="33"/>
      <c r="D1479" s="7"/>
      <c r="E1479" s="8"/>
      <c r="F1479" s="8"/>
      <c r="G1479" s="8"/>
      <c r="H1479" s="9"/>
      <c r="I1479" s="138"/>
      <c r="J1479" s="18"/>
      <c r="K1479" s="19"/>
    </row>
    <row r="1480" spans="2:11">
      <c r="B1480" s="13"/>
      <c r="C1480" s="33" t="s">
        <v>110</v>
      </c>
      <c r="D1480" s="7">
        <v>1</v>
      </c>
      <c r="E1480" s="8">
        <f>10.3-0.9</f>
        <v>9.4</v>
      </c>
      <c r="F1480" s="8"/>
      <c r="G1480" s="8"/>
      <c r="H1480" s="9">
        <f t="shared" ref="H1480" si="157">PRODUCT(D1480:G1480)</f>
        <v>9.4</v>
      </c>
      <c r="I1480" s="138"/>
      <c r="J1480" s="18"/>
      <c r="K1480" s="19"/>
    </row>
    <row r="1481" spans="2:11">
      <c r="B1481" s="13"/>
      <c r="C1481" s="33"/>
      <c r="D1481" s="7"/>
      <c r="E1481" s="8"/>
      <c r="F1481" s="8"/>
      <c r="G1481" s="8"/>
      <c r="H1481" s="9"/>
      <c r="I1481" s="138"/>
      <c r="J1481" s="18"/>
      <c r="K1481" s="19"/>
    </row>
    <row r="1482" spans="2:11" ht="15" thickBot="1">
      <c r="B1482" s="13"/>
      <c r="C1482" s="33"/>
      <c r="D1482" s="7"/>
      <c r="E1482" s="8"/>
      <c r="F1482" s="8"/>
      <c r="G1482" s="8"/>
      <c r="H1482" s="9"/>
      <c r="I1482" s="139"/>
      <c r="J1482" s="18"/>
      <c r="K1482" s="19"/>
    </row>
    <row r="1483" spans="2:11" ht="15" thickBot="1">
      <c r="B1483" s="13"/>
      <c r="C1483" s="45" t="s">
        <v>538</v>
      </c>
      <c r="D1483" s="7"/>
      <c r="E1483" s="8"/>
      <c r="F1483" s="8"/>
      <c r="G1483" s="8"/>
      <c r="H1483" s="151"/>
      <c r="I1483" s="136">
        <f>SUM(H1484:H1488)</f>
        <v>27.28</v>
      </c>
      <c r="J1483" s="130" t="s">
        <v>11</v>
      </c>
      <c r="K1483" s="19"/>
    </row>
    <row r="1484" spans="2:11">
      <c r="B1484" s="13"/>
      <c r="C1484" s="33" t="s">
        <v>111</v>
      </c>
      <c r="D1484" s="7">
        <v>1</v>
      </c>
      <c r="E1484" s="8">
        <f>15.7-1.5</f>
        <v>14.2</v>
      </c>
      <c r="F1484" s="8"/>
      <c r="G1484" s="8"/>
      <c r="H1484" s="9">
        <f t="shared" ref="H1484:H1486" si="158">PRODUCT(D1484:G1484)</f>
        <v>14.2</v>
      </c>
      <c r="I1484" s="137"/>
      <c r="J1484" s="18"/>
      <c r="K1484" s="19"/>
    </row>
    <row r="1485" spans="2:11">
      <c r="B1485" s="13"/>
      <c r="C1485" s="33" t="s">
        <v>112</v>
      </c>
      <c r="D1485" s="7"/>
      <c r="E1485" s="8"/>
      <c r="F1485" s="8"/>
      <c r="G1485" s="8"/>
      <c r="H1485" s="9"/>
      <c r="I1485" s="138"/>
      <c r="J1485" s="18"/>
      <c r="K1485" s="19"/>
    </row>
    <row r="1486" spans="2:11">
      <c r="B1486" s="13"/>
      <c r="C1486" s="26"/>
      <c r="D1486" s="7">
        <v>4</v>
      </c>
      <c r="E1486" s="8">
        <f>3.02+0.25</f>
        <v>3.27</v>
      </c>
      <c r="F1486" s="8"/>
      <c r="G1486" s="8"/>
      <c r="H1486" s="9">
        <f t="shared" si="158"/>
        <v>13.08</v>
      </c>
      <c r="I1486" s="138"/>
      <c r="J1486" s="18"/>
      <c r="K1486" s="19"/>
    </row>
    <row r="1487" spans="2:11">
      <c r="B1487" s="13"/>
      <c r="C1487" s="26"/>
      <c r="D1487" s="7"/>
      <c r="E1487" s="8"/>
      <c r="F1487" s="8"/>
      <c r="G1487" s="8"/>
      <c r="H1487" s="19"/>
      <c r="I1487" s="138"/>
      <c r="J1487" s="18"/>
      <c r="K1487" s="19"/>
    </row>
    <row r="1488" spans="2:11">
      <c r="B1488" s="13"/>
      <c r="C1488" s="44"/>
      <c r="D1488" s="7"/>
      <c r="E1488" s="8"/>
      <c r="F1488" s="8"/>
      <c r="G1488" s="8"/>
      <c r="H1488" s="9"/>
      <c r="I1488" s="138"/>
      <c r="J1488" s="18"/>
      <c r="K1488" s="19"/>
    </row>
    <row r="1489" spans="2:11" ht="15" thickBot="1">
      <c r="B1489" s="4">
        <v>24</v>
      </c>
      <c r="C1489" s="197" t="s">
        <v>10</v>
      </c>
      <c r="D1489" s="198"/>
      <c r="E1489" s="198"/>
      <c r="F1489" s="198"/>
      <c r="G1489" s="198"/>
      <c r="H1489" s="194"/>
      <c r="I1489" s="128"/>
      <c r="J1489" s="5" t="s">
        <v>19</v>
      </c>
      <c r="K1489" s="5"/>
    </row>
    <row r="1490" spans="2:11" ht="15" thickBot="1">
      <c r="B1490" s="13"/>
      <c r="C1490" s="15" t="s">
        <v>151</v>
      </c>
      <c r="D1490" s="7">
        <v>1</v>
      </c>
      <c r="E1490" s="8">
        <f>+I1212+H1363-I1433</f>
        <v>783.88590000000056</v>
      </c>
      <c r="F1490" s="8"/>
      <c r="G1490" s="8"/>
      <c r="H1490" s="129">
        <f t="shared" ref="H1490:H1492" si="159">PRODUCT(D1490:G1490)</f>
        <v>783.88590000000056</v>
      </c>
      <c r="I1490" s="136">
        <f>PRODUCT(D1490:G1490)</f>
        <v>783.88590000000056</v>
      </c>
      <c r="J1490" s="130"/>
      <c r="K1490" s="19"/>
    </row>
    <row r="1491" spans="2:11" ht="15" thickBot="1">
      <c r="B1491" s="13"/>
      <c r="C1491" s="49"/>
      <c r="D1491" s="7"/>
      <c r="E1491" s="8"/>
      <c r="F1491" s="8"/>
      <c r="G1491" s="8"/>
      <c r="H1491" s="19"/>
      <c r="I1491" s="152"/>
      <c r="J1491" s="18"/>
      <c r="K1491" s="19"/>
    </row>
    <row r="1492" spans="2:11" ht="15" thickBot="1">
      <c r="B1492" s="13"/>
      <c r="C1492" s="49" t="s">
        <v>152</v>
      </c>
      <c r="D1492" s="7">
        <v>1</v>
      </c>
      <c r="E1492" s="8">
        <f>+SUM(H1377:H1431)</f>
        <v>77.530500000000004</v>
      </c>
      <c r="F1492" s="8"/>
      <c r="G1492" s="8"/>
      <c r="H1492" s="129">
        <f t="shared" si="159"/>
        <v>77.530500000000004</v>
      </c>
      <c r="I1492" s="136">
        <f>PRODUCT(D1492:G1492)</f>
        <v>77.530500000000004</v>
      </c>
      <c r="J1492" s="130"/>
      <c r="K1492" s="19" t="s">
        <v>539</v>
      </c>
    </row>
    <row r="1493" spans="2:11" ht="15" thickBot="1">
      <c r="B1493" s="4">
        <v>24</v>
      </c>
      <c r="C1493" s="197" t="s">
        <v>37</v>
      </c>
      <c r="D1493" s="198"/>
      <c r="E1493" s="198"/>
      <c r="F1493" s="198"/>
      <c r="G1493" s="198"/>
      <c r="H1493" s="194"/>
      <c r="I1493" s="153"/>
      <c r="J1493" s="5" t="s">
        <v>19</v>
      </c>
      <c r="K1493" s="5"/>
    </row>
    <row r="1494" spans="2:11" ht="15" thickBot="1">
      <c r="B1494" s="13"/>
      <c r="C1494" s="15" t="s">
        <v>38</v>
      </c>
      <c r="D1494" s="7">
        <v>1</v>
      </c>
      <c r="E1494" s="8">
        <v>159.80000000000001</v>
      </c>
      <c r="F1494" s="8"/>
      <c r="G1494" s="8"/>
      <c r="H1494" s="129">
        <f t="shared" ref="H1494" si="160">PRODUCT(D1494:G1494)</f>
        <v>159.80000000000001</v>
      </c>
      <c r="I1494" s="136">
        <f>SUM(H1494:H1497)</f>
        <v>159.80000000000001</v>
      </c>
      <c r="J1494" s="130"/>
      <c r="K1494" s="19"/>
    </row>
    <row r="1495" spans="2:11">
      <c r="B1495" s="13"/>
      <c r="C1495" s="15"/>
      <c r="D1495" s="7"/>
      <c r="E1495" s="8"/>
      <c r="F1495" s="8"/>
      <c r="G1495" s="8"/>
      <c r="H1495" s="19"/>
      <c r="I1495" s="137"/>
      <c r="J1495" s="18"/>
      <c r="K1495" s="19"/>
    </row>
    <row r="1496" spans="2:11">
      <c r="B1496" s="13"/>
      <c r="C1496" s="15"/>
      <c r="D1496" s="7"/>
      <c r="E1496" s="8"/>
      <c r="F1496" s="8"/>
      <c r="G1496" s="8"/>
      <c r="H1496" s="19"/>
      <c r="I1496" s="138"/>
      <c r="J1496" s="18"/>
      <c r="K1496" s="19"/>
    </row>
    <row r="1497" spans="2:11" ht="15" thickBot="1">
      <c r="B1497" s="13"/>
      <c r="C1497" s="15"/>
      <c r="D1497" s="7"/>
      <c r="E1497" s="8"/>
      <c r="F1497" s="8"/>
      <c r="G1497" s="8"/>
      <c r="H1497" s="19"/>
      <c r="I1497" s="139"/>
      <c r="J1497" s="18"/>
      <c r="K1497" s="19"/>
    </row>
    <row r="1498" spans="2:11" ht="15" thickBot="1">
      <c r="B1498" s="13"/>
      <c r="C1498" s="49" t="s">
        <v>153</v>
      </c>
      <c r="D1498" s="7">
        <v>1</v>
      </c>
      <c r="E1498" s="8">
        <v>2.11</v>
      </c>
      <c r="F1498" s="8">
        <v>10.4</v>
      </c>
      <c r="G1498" s="8"/>
      <c r="H1498" s="129">
        <f t="shared" ref="H1498:H1514" si="161">PRODUCT(D1498:G1498)</f>
        <v>21.943999999999999</v>
      </c>
      <c r="I1498" s="136">
        <f>SUM(H1498:H1499)</f>
        <v>28.020799999999998</v>
      </c>
      <c r="J1498" s="130"/>
      <c r="K1498" s="19"/>
    </row>
    <row r="1499" spans="2:11" ht="15" thickBot="1">
      <c r="B1499" s="13"/>
      <c r="C1499" s="49"/>
      <c r="D1499" s="7">
        <v>1</v>
      </c>
      <c r="E1499" s="8">
        <v>2.11</v>
      </c>
      <c r="F1499" s="8">
        <v>2.88</v>
      </c>
      <c r="G1499" s="8"/>
      <c r="H1499" s="19">
        <f t="shared" si="161"/>
        <v>6.0767999999999995</v>
      </c>
      <c r="I1499" s="152"/>
      <c r="J1499" s="18"/>
      <c r="K1499" s="19"/>
    </row>
    <row r="1500" spans="2:11" ht="15" thickBot="1">
      <c r="B1500" s="13"/>
      <c r="C1500" s="49" t="s">
        <v>154</v>
      </c>
      <c r="D1500" s="7">
        <v>1</v>
      </c>
      <c r="E1500" s="8">
        <v>1.1000000000000001</v>
      </c>
      <c r="F1500" s="8">
        <v>10.4</v>
      </c>
      <c r="G1500" s="8"/>
      <c r="H1500" s="129">
        <f t="shared" si="161"/>
        <v>11.440000000000001</v>
      </c>
      <c r="I1500" s="136">
        <f>SUM(H1500:H1501)</f>
        <v>14.608000000000001</v>
      </c>
      <c r="J1500" s="130"/>
      <c r="K1500" s="19"/>
    </row>
    <row r="1501" spans="2:11">
      <c r="B1501" s="13"/>
      <c r="C1501" s="49"/>
      <c r="D1501" s="7">
        <v>1</v>
      </c>
      <c r="E1501" s="8">
        <v>1.1000000000000001</v>
      </c>
      <c r="F1501" s="8">
        <v>2.88</v>
      </c>
      <c r="G1501" s="8"/>
      <c r="H1501" s="19">
        <f t="shared" si="161"/>
        <v>3.1680000000000001</v>
      </c>
      <c r="I1501" s="137"/>
      <c r="J1501" s="18"/>
      <c r="K1501" s="19"/>
    </row>
    <row r="1502" spans="2:11">
      <c r="B1502" s="13"/>
      <c r="C1502" s="49"/>
      <c r="D1502" s="22"/>
      <c r="E1502" s="23"/>
      <c r="F1502" s="23"/>
      <c r="G1502" s="23"/>
      <c r="H1502" s="132"/>
      <c r="I1502" s="138"/>
      <c r="J1502" s="18"/>
      <c r="K1502" s="19"/>
    </row>
    <row r="1503" spans="2:11" ht="15" thickBot="1">
      <c r="B1503" s="4">
        <v>24</v>
      </c>
      <c r="C1503" s="197" t="s">
        <v>540</v>
      </c>
      <c r="D1503" s="198"/>
      <c r="E1503" s="198"/>
      <c r="F1503" s="198"/>
      <c r="G1503" s="198"/>
      <c r="H1503" s="194"/>
      <c r="I1503" s="128"/>
      <c r="J1503" s="5" t="s">
        <v>19</v>
      </c>
      <c r="K1503" s="5"/>
    </row>
    <row r="1504" spans="2:11" ht="15" thickBot="1">
      <c r="B1504" s="13"/>
      <c r="C1504" s="15" t="s">
        <v>540</v>
      </c>
      <c r="D1504" s="133">
        <v>1</v>
      </c>
      <c r="E1504" s="8">
        <v>1.23</v>
      </c>
      <c r="F1504" s="8">
        <v>1.66</v>
      </c>
      <c r="G1504" s="8"/>
      <c r="H1504" s="134">
        <f t="shared" ref="H1504:H1506" si="162">PRODUCT(D1504:G1504)</f>
        <v>2.0417999999999998</v>
      </c>
      <c r="I1504" s="136">
        <f>SUM(H1504:H1506)</f>
        <v>9.1948000000000008</v>
      </c>
      <c r="J1504" s="130"/>
      <c r="K1504" s="19"/>
    </row>
    <row r="1505" spans="2:11">
      <c r="B1505" s="13"/>
      <c r="C1505" s="49"/>
      <c r="D1505" s="133">
        <v>1</v>
      </c>
      <c r="E1505" s="8">
        <v>2.2999999999999998</v>
      </c>
      <c r="F1505" s="8">
        <v>2.06</v>
      </c>
      <c r="G1505" s="8"/>
      <c r="H1505" s="134">
        <f t="shared" si="162"/>
        <v>4.7379999999999995</v>
      </c>
      <c r="I1505" s="154"/>
      <c r="J1505" s="130"/>
      <c r="K1505" s="19"/>
    </row>
    <row r="1506" spans="2:11">
      <c r="B1506" s="13"/>
      <c r="C1506" s="49"/>
      <c r="D1506" s="133">
        <v>1</v>
      </c>
      <c r="E1506" s="8">
        <v>1.5</v>
      </c>
      <c r="F1506" s="8">
        <v>1.61</v>
      </c>
      <c r="G1506" s="8"/>
      <c r="H1506" s="134">
        <f t="shared" si="162"/>
        <v>2.415</v>
      </c>
      <c r="I1506" s="20"/>
      <c r="J1506" s="130"/>
      <c r="K1506" s="19"/>
    </row>
    <row r="1507" spans="2:11" ht="15" thickBot="1">
      <c r="B1507" s="13"/>
      <c r="C1507" s="49"/>
      <c r="D1507" s="133"/>
      <c r="E1507" s="8"/>
      <c r="F1507" s="8"/>
      <c r="G1507" s="8"/>
      <c r="H1507" s="8"/>
      <c r="I1507" s="20"/>
      <c r="J1507" s="18"/>
      <c r="K1507" s="19"/>
    </row>
    <row r="1508" spans="2:11" ht="15" thickBot="1">
      <c r="B1508" s="13"/>
      <c r="C1508" s="49" t="s">
        <v>541</v>
      </c>
      <c r="D1508" s="133">
        <v>1</v>
      </c>
      <c r="E1508" s="8">
        <v>13.56</v>
      </c>
      <c r="F1508" s="8"/>
      <c r="G1508" s="8"/>
      <c r="H1508" s="134">
        <f t="shared" ref="H1508:H1510" si="163">PRODUCT(D1508:G1508)</f>
        <v>13.56</v>
      </c>
      <c r="I1508" s="136">
        <f>SUM(H1508:H1510)</f>
        <v>101.28999999999999</v>
      </c>
      <c r="J1508" s="130" t="s">
        <v>542</v>
      </c>
      <c r="K1508" s="19"/>
    </row>
    <row r="1509" spans="2:11">
      <c r="B1509" s="13"/>
      <c r="C1509" s="49"/>
      <c r="D1509" s="133">
        <v>1</v>
      </c>
      <c r="E1509" s="8">
        <v>26.37</v>
      </c>
      <c r="F1509" s="8"/>
      <c r="G1509" s="8"/>
      <c r="H1509" s="132">
        <f t="shared" si="163"/>
        <v>26.37</v>
      </c>
      <c r="I1509" s="137"/>
      <c r="J1509" s="18" t="s">
        <v>543</v>
      </c>
      <c r="K1509" s="19"/>
    </row>
    <row r="1510" spans="2:11">
      <c r="B1510" s="13"/>
      <c r="C1510" s="49"/>
      <c r="D1510" s="133">
        <v>1</v>
      </c>
      <c r="E1510" s="8">
        <v>61.36</v>
      </c>
      <c r="F1510" s="8"/>
      <c r="G1510" s="8"/>
      <c r="H1510" s="132">
        <f t="shared" si="163"/>
        <v>61.36</v>
      </c>
      <c r="I1510" s="138"/>
      <c r="J1510" s="135" t="s">
        <v>544</v>
      </c>
      <c r="K1510" s="19"/>
    </row>
    <row r="1511" spans="2:11" ht="15" thickBot="1">
      <c r="B1511" s="4">
        <v>25</v>
      </c>
      <c r="C1511" s="197" t="s">
        <v>286</v>
      </c>
      <c r="D1511" s="198"/>
      <c r="E1511" s="198"/>
      <c r="F1511" s="198"/>
      <c r="G1511" s="198"/>
      <c r="H1511" s="194"/>
      <c r="I1511" s="128"/>
      <c r="J1511" s="5" t="s">
        <v>222</v>
      </c>
      <c r="K1511" s="5"/>
    </row>
    <row r="1512" spans="2:11" ht="15" thickBot="1">
      <c r="B1512" s="13"/>
      <c r="C1512" s="15" t="s">
        <v>287</v>
      </c>
      <c r="D1512" s="7">
        <v>1</v>
      </c>
      <c r="E1512" s="8">
        <v>1.23</v>
      </c>
      <c r="F1512" s="8"/>
      <c r="G1512" s="8">
        <v>2.1</v>
      </c>
      <c r="H1512" s="129">
        <f t="shared" si="161"/>
        <v>2.5830000000000002</v>
      </c>
      <c r="I1512" s="136">
        <f>SUM(H1512:H1513)</f>
        <v>7.4130000000000003</v>
      </c>
      <c r="J1512" s="130"/>
      <c r="K1512" s="19"/>
    </row>
    <row r="1513" spans="2:11" ht="15" thickBot="1">
      <c r="B1513" s="13"/>
      <c r="C1513" s="49"/>
      <c r="D1513" s="7">
        <v>1</v>
      </c>
      <c r="E1513" s="8">
        <v>2.2999999999999998</v>
      </c>
      <c r="F1513" s="8"/>
      <c r="G1513" s="8">
        <v>2.1</v>
      </c>
      <c r="H1513" s="19">
        <f t="shared" si="161"/>
        <v>4.83</v>
      </c>
      <c r="I1513" s="152"/>
      <c r="J1513" s="18"/>
      <c r="K1513" s="19"/>
    </row>
    <row r="1514" spans="2:11" ht="15" thickBot="1">
      <c r="B1514" s="13"/>
      <c r="C1514" s="49" t="s">
        <v>545</v>
      </c>
      <c r="D1514" s="7">
        <v>1</v>
      </c>
      <c r="E1514" s="8">
        <v>2</v>
      </c>
      <c r="F1514" s="8"/>
      <c r="G1514" s="8"/>
      <c r="H1514" s="129">
        <f t="shared" si="161"/>
        <v>2</v>
      </c>
      <c r="I1514" s="136">
        <f>SUM(H1514:H1515)</f>
        <v>2</v>
      </c>
      <c r="J1514" s="130"/>
      <c r="K1514" s="19"/>
    </row>
    <row r="1515" spans="2:11">
      <c r="B1515" s="13"/>
      <c r="C1515" s="49"/>
      <c r="D1515" s="7"/>
      <c r="E1515" s="8"/>
      <c r="F1515" s="8"/>
      <c r="G1515" s="8"/>
      <c r="H1515" s="19"/>
      <c r="I1515" s="137"/>
      <c r="J1515" s="18"/>
      <c r="K1515" s="19"/>
    </row>
    <row r="1516" spans="2:11" ht="15" thickBot="1">
      <c r="B1516" s="4">
        <v>25</v>
      </c>
      <c r="C1516" s="197" t="s">
        <v>39</v>
      </c>
      <c r="D1516" s="198"/>
      <c r="E1516" s="198"/>
      <c r="F1516" s="198"/>
      <c r="G1516" s="198"/>
      <c r="H1516" s="194"/>
      <c r="I1516" s="128"/>
      <c r="J1516" s="5" t="s">
        <v>9</v>
      </c>
      <c r="K1516" s="5"/>
    </row>
    <row r="1517" spans="2:11" ht="15" thickBot="1">
      <c r="B1517" s="13"/>
      <c r="C1517" s="15" t="s">
        <v>40</v>
      </c>
      <c r="D1517" s="7">
        <v>1</v>
      </c>
      <c r="E1517" s="8">
        <v>63.66</v>
      </c>
      <c r="F1517" s="8"/>
      <c r="G1517" s="8"/>
      <c r="H1517" s="151"/>
      <c r="I1517" s="136">
        <f>PRODUCT(D1517:G1517)</f>
        <v>63.66</v>
      </c>
      <c r="J1517" s="130"/>
      <c r="K1517" s="19"/>
    </row>
    <row r="1518" spans="2:11">
      <c r="B1518" s="4">
        <v>28</v>
      </c>
      <c r="C1518" s="197" t="s">
        <v>52</v>
      </c>
      <c r="D1518" s="198"/>
      <c r="E1518" s="198"/>
      <c r="F1518" s="198"/>
      <c r="G1518" s="198"/>
      <c r="H1518" s="194"/>
      <c r="I1518" s="155">
        <f>SUM(H1519:H1592)</f>
        <v>3754.7689260500006</v>
      </c>
      <c r="J1518" s="5" t="s">
        <v>3</v>
      </c>
      <c r="K1518" s="5"/>
    </row>
    <row r="1519" spans="2:11">
      <c r="B1519" s="13"/>
      <c r="C1519" s="45" t="s">
        <v>39</v>
      </c>
      <c r="D1519" s="7">
        <v>1</v>
      </c>
      <c r="E1519" s="8">
        <f>+E1517</f>
        <v>63.66</v>
      </c>
      <c r="F1519" s="8">
        <v>5</v>
      </c>
      <c r="G1519" s="8">
        <v>0.15</v>
      </c>
      <c r="H1519" s="9">
        <f t="shared" ref="H1519:H1544" si="164">PRODUCT(D1519:G1519)</f>
        <v>47.74499999999999</v>
      </c>
      <c r="I1519" s="138">
        <f>SUM(H1519)</f>
        <v>47.74499999999999</v>
      </c>
      <c r="J1519" s="18"/>
      <c r="K1519" s="19"/>
    </row>
    <row r="1520" spans="2:11">
      <c r="B1520" s="13"/>
      <c r="C1520" s="45" t="s">
        <v>595</v>
      </c>
      <c r="D1520" s="7">
        <v>1</v>
      </c>
      <c r="E1520" s="8">
        <f>+ROUNDUP(E1519/0.9,0)</f>
        <v>71</v>
      </c>
      <c r="F1520" s="8">
        <f>0.65+0.41</f>
        <v>1.06</v>
      </c>
      <c r="G1520" s="8">
        <v>2.4550000000000001</v>
      </c>
      <c r="H1520" s="9">
        <f t="shared" si="164"/>
        <v>184.76330000000002</v>
      </c>
      <c r="I1520" s="138">
        <f>SUM(H1520)</f>
        <v>184.76330000000002</v>
      </c>
      <c r="J1520" s="18"/>
      <c r="K1520" s="19"/>
    </row>
    <row r="1521" spans="2:14">
      <c r="B1521" s="13"/>
      <c r="C1521" s="45" t="s">
        <v>594</v>
      </c>
      <c r="D1521" s="7">
        <v>2</v>
      </c>
      <c r="E1521" s="8">
        <v>0.55000000000000004</v>
      </c>
      <c r="F1521" s="8">
        <v>1.93</v>
      </c>
      <c r="G1521" s="8">
        <f>7849*0.00635</f>
        <v>49.841149999999999</v>
      </c>
      <c r="H1521" s="9">
        <f t="shared" si="164"/>
        <v>105.81276145000001</v>
      </c>
      <c r="I1521" s="138">
        <f>SUM(H1521:H1526)</f>
        <v>684.01917505000006</v>
      </c>
      <c r="J1521" s="18"/>
      <c r="K1521" s="19"/>
    </row>
    <row r="1522" spans="2:14">
      <c r="B1522" s="13"/>
      <c r="C1522" s="27" t="s">
        <v>53</v>
      </c>
      <c r="D1522" s="7">
        <v>1</v>
      </c>
      <c r="E1522" s="8">
        <v>1.6</v>
      </c>
      <c r="F1522" s="8">
        <v>1.93</v>
      </c>
      <c r="G1522" s="8">
        <f t="shared" ref="G1522:G1524" si="165">7849*0.00635</f>
        <v>49.841149999999999</v>
      </c>
      <c r="H1522" s="9">
        <f t="shared" si="164"/>
        <v>153.90947120000001</v>
      </c>
      <c r="I1522" s="138"/>
      <c r="J1522" s="18"/>
      <c r="K1522" s="19"/>
    </row>
    <row r="1523" spans="2:14">
      <c r="B1523" s="13"/>
      <c r="C1523" s="15"/>
      <c r="D1523" s="7">
        <v>1</v>
      </c>
      <c r="E1523" s="8">
        <v>1.6</v>
      </c>
      <c r="F1523" s="8">
        <v>1.93</v>
      </c>
      <c r="G1523" s="8">
        <f t="shared" si="165"/>
        <v>49.841149999999999</v>
      </c>
      <c r="H1523" s="9">
        <f t="shared" si="164"/>
        <v>153.90947120000001</v>
      </c>
      <c r="I1523" s="138"/>
      <c r="J1523" s="18"/>
      <c r="K1523" s="19"/>
    </row>
    <row r="1524" spans="2:14">
      <c r="B1524" s="13"/>
      <c r="C1524" s="15"/>
      <c r="D1524" s="7">
        <v>1</v>
      </c>
      <c r="E1524" s="8">
        <v>1.6</v>
      </c>
      <c r="F1524" s="8">
        <v>1.93</v>
      </c>
      <c r="G1524" s="8">
        <f t="shared" si="165"/>
        <v>49.841149999999999</v>
      </c>
      <c r="H1524" s="9">
        <f t="shared" si="164"/>
        <v>153.90947120000001</v>
      </c>
      <c r="I1524" s="138"/>
      <c r="J1524" s="18"/>
      <c r="K1524" s="19"/>
    </row>
    <row r="1525" spans="2:14">
      <c r="B1525" s="13"/>
      <c r="C1525" s="27" t="s">
        <v>54</v>
      </c>
      <c r="D1525" s="7">
        <v>1</v>
      </c>
      <c r="E1525" s="8">
        <f>1.39*4+0.55*4+1.6*2+1.39*2+0.64*2+1.6*4+0.74*2</f>
        <v>22.900000000000002</v>
      </c>
      <c r="F1525" s="8"/>
      <c r="G1525" s="8">
        <v>1.83</v>
      </c>
      <c r="H1525" s="9">
        <f t="shared" si="164"/>
        <v>41.907000000000004</v>
      </c>
      <c r="I1525" s="138"/>
      <c r="J1525" s="18"/>
      <c r="K1525" s="19"/>
    </row>
    <row r="1526" spans="2:14">
      <c r="B1526" s="13"/>
      <c r="C1526" s="27" t="s">
        <v>55</v>
      </c>
      <c r="D1526" s="7">
        <v>1</v>
      </c>
      <c r="E1526" s="8">
        <f>1.39*4+0.55*4+1.6*2+1.39*2+0.64*1+1.6*4+0.74*2</f>
        <v>22.26</v>
      </c>
      <c r="F1526" s="8"/>
      <c r="G1526" s="8">
        <v>3.35</v>
      </c>
      <c r="H1526" s="9">
        <f t="shared" si="164"/>
        <v>74.571000000000012</v>
      </c>
      <c r="I1526" s="138"/>
      <c r="J1526" s="18"/>
      <c r="K1526" s="19"/>
    </row>
    <row r="1527" spans="2:14">
      <c r="B1527" s="13"/>
      <c r="C1527" s="15"/>
      <c r="D1527" s="7"/>
      <c r="E1527" s="8"/>
      <c r="F1527" s="8"/>
      <c r="G1527" s="8"/>
      <c r="H1527" s="9"/>
      <c r="I1527" s="138"/>
      <c r="J1527" s="18"/>
      <c r="K1527" s="18"/>
    </row>
    <row r="1528" spans="2:14" ht="15" thickBot="1">
      <c r="B1528" s="13"/>
      <c r="C1528" s="15"/>
      <c r="D1528" s="7"/>
      <c r="E1528" s="8"/>
      <c r="F1528" s="8"/>
      <c r="G1528" s="8"/>
      <c r="H1528" s="9"/>
      <c r="I1528" s="139"/>
      <c r="J1528" s="18"/>
      <c r="K1528" s="18"/>
      <c r="N1528" s="53"/>
    </row>
    <row r="1529" spans="2:14" ht="15" thickBot="1">
      <c r="B1529" s="13"/>
      <c r="C1529" s="45" t="s">
        <v>593</v>
      </c>
      <c r="D1529" s="7">
        <v>3</v>
      </c>
      <c r="E1529" s="8">
        <v>10.199999999999999</v>
      </c>
      <c r="F1529" s="8">
        <v>7.59</v>
      </c>
      <c r="G1529" s="8"/>
      <c r="H1529" s="151">
        <f t="shared" si="164"/>
        <v>232.25399999999999</v>
      </c>
      <c r="I1529" s="136">
        <f>SUM(H1529:H1532)</f>
        <v>614.79</v>
      </c>
      <c r="J1529" s="130"/>
      <c r="K1529" s="18"/>
    </row>
    <row r="1530" spans="2:14">
      <c r="B1530" s="13"/>
      <c r="C1530" s="15"/>
      <c r="D1530" s="7">
        <v>18</v>
      </c>
      <c r="E1530" s="8">
        <v>1.5</v>
      </c>
      <c r="F1530" s="8">
        <v>7.59</v>
      </c>
      <c r="G1530" s="8"/>
      <c r="H1530" s="9">
        <f t="shared" si="164"/>
        <v>204.93</v>
      </c>
      <c r="I1530" s="137"/>
      <c r="J1530" s="18"/>
      <c r="K1530" s="18"/>
    </row>
    <row r="1531" spans="2:14">
      <c r="B1531" s="13"/>
      <c r="C1531" s="15"/>
      <c r="D1531" s="7">
        <v>18</v>
      </c>
      <c r="E1531" s="8">
        <v>1</v>
      </c>
      <c r="F1531" s="8">
        <v>7.59</v>
      </c>
      <c r="G1531" s="8"/>
      <c r="H1531" s="9">
        <f t="shared" si="164"/>
        <v>136.62</v>
      </c>
      <c r="I1531" s="138"/>
      <c r="J1531" s="18"/>
      <c r="K1531" s="18"/>
    </row>
    <row r="1532" spans="2:14">
      <c r="B1532" s="13"/>
      <c r="C1532" s="15"/>
      <c r="D1532" s="7">
        <v>18</v>
      </c>
      <c r="E1532" s="8">
        <v>0.3</v>
      </c>
      <c r="F1532" s="8">
        <v>7.59</v>
      </c>
      <c r="G1532" s="8"/>
      <c r="H1532" s="9">
        <f t="shared" si="164"/>
        <v>40.985999999999997</v>
      </c>
      <c r="I1532" s="138"/>
      <c r="J1532" s="18"/>
      <c r="K1532" s="18"/>
    </row>
    <row r="1533" spans="2:14">
      <c r="B1533" s="13"/>
      <c r="C1533" s="15"/>
      <c r="D1533" s="7"/>
      <c r="E1533" s="8"/>
      <c r="F1533" s="8"/>
      <c r="G1533" s="8"/>
      <c r="H1533" s="9"/>
      <c r="I1533" s="138"/>
      <c r="J1533" s="18"/>
      <c r="K1533" s="18"/>
    </row>
    <row r="1534" spans="2:14">
      <c r="B1534" s="13"/>
      <c r="C1534" s="15"/>
      <c r="D1534" s="7"/>
      <c r="E1534" s="8"/>
      <c r="F1534" s="8"/>
      <c r="G1534" s="8"/>
      <c r="H1534" s="9"/>
      <c r="I1534" s="138"/>
      <c r="J1534" s="18"/>
      <c r="K1534" s="18"/>
    </row>
    <row r="1535" spans="2:14" ht="15" thickBot="1">
      <c r="B1535" s="13"/>
      <c r="C1535" s="15"/>
      <c r="D1535" s="7"/>
      <c r="E1535" s="8"/>
      <c r="F1535" s="8"/>
      <c r="G1535" s="8"/>
      <c r="H1535" s="9"/>
      <c r="I1535" s="139"/>
      <c r="J1535" s="18"/>
      <c r="K1535" s="18"/>
    </row>
    <row r="1536" spans="2:14" ht="15" thickBot="1">
      <c r="B1536" s="13"/>
      <c r="C1536" s="45" t="s">
        <v>592</v>
      </c>
      <c r="D1536" s="7">
        <v>2</v>
      </c>
      <c r="E1536" s="8">
        <f>2.4*1.2</f>
        <v>2.88</v>
      </c>
      <c r="F1536" s="8"/>
      <c r="G1536" s="20">
        <v>24.65</v>
      </c>
      <c r="H1536" s="151">
        <f t="shared" si="164"/>
        <v>141.98399999999998</v>
      </c>
      <c r="I1536" s="136">
        <f>SUM(H1536:H1545)</f>
        <v>359.71438799999999</v>
      </c>
      <c r="J1536" s="130"/>
      <c r="K1536" s="18"/>
    </row>
    <row r="1537" spans="2:14">
      <c r="B1537" s="13"/>
      <c r="C1537" s="27" t="s">
        <v>56</v>
      </c>
      <c r="D1537" s="7">
        <v>7</v>
      </c>
      <c r="E1537" s="8">
        <v>2.4</v>
      </c>
      <c r="F1537" s="8"/>
      <c r="G1537" s="8">
        <v>2.2400000000000002</v>
      </c>
      <c r="H1537" s="9">
        <f t="shared" si="164"/>
        <v>37.632000000000005</v>
      </c>
      <c r="I1537" s="137"/>
      <c r="J1537" s="18"/>
      <c r="K1537" s="18"/>
    </row>
    <row r="1538" spans="2:14">
      <c r="B1538" s="13"/>
      <c r="C1538" s="27" t="s">
        <v>57</v>
      </c>
      <c r="D1538" s="7">
        <v>1</v>
      </c>
      <c r="E1538" s="8">
        <f>2.4*2+1.2</f>
        <v>6</v>
      </c>
      <c r="F1538" s="8"/>
      <c r="G1538" s="8">
        <v>2.67</v>
      </c>
      <c r="H1538" s="9">
        <f t="shared" si="164"/>
        <v>16.02</v>
      </c>
      <c r="I1538" s="138"/>
      <c r="J1538" s="18"/>
      <c r="K1538" s="18"/>
    </row>
    <row r="1539" spans="2:14">
      <c r="B1539" s="13"/>
      <c r="C1539" s="15"/>
      <c r="D1539" s="7"/>
      <c r="E1539" s="8"/>
      <c r="F1539" s="8"/>
      <c r="G1539" s="8"/>
      <c r="H1539" s="9">
        <f t="shared" si="164"/>
        <v>0</v>
      </c>
      <c r="I1539" s="138"/>
      <c r="J1539" s="18"/>
      <c r="K1539" s="18"/>
    </row>
    <row r="1540" spans="2:14">
      <c r="B1540" s="13"/>
      <c r="C1540" s="27" t="s">
        <v>59</v>
      </c>
      <c r="D1540" s="7">
        <v>4</v>
      </c>
      <c r="E1540" s="8">
        <f>1.48*1.66</f>
        <v>2.4567999999999999</v>
      </c>
      <c r="F1540" s="8"/>
      <c r="G1540" s="8">
        <v>3.85</v>
      </c>
      <c r="H1540" s="9">
        <f t="shared" si="164"/>
        <v>37.834719999999997</v>
      </c>
      <c r="I1540" s="138"/>
      <c r="J1540" s="18"/>
      <c r="K1540" s="18"/>
    </row>
    <row r="1541" spans="2:14">
      <c r="B1541" s="13"/>
      <c r="C1541" s="27" t="s">
        <v>60</v>
      </c>
      <c r="D1541" s="7">
        <v>2</v>
      </c>
      <c r="E1541" s="8">
        <v>2.96</v>
      </c>
      <c r="F1541" s="8"/>
      <c r="G1541" s="8">
        <v>1.83</v>
      </c>
      <c r="H1541" s="9">
        <f t="shared" si="164"/>
        <v>10.833600000000001</v>
      </c>
      <c r="I1541" s="138"/>
      <c r="J1541" s="18"/>
      <c r="K1541" s="18"/>
    </row>
    <row r="1542" spans="2:14">
      <c r="B1542" s="13"/>
      <c r="C1542" s="27"/>
      <c r="D1542" s="7">
        <v>2</v>
      </c>
      <c r="E1542" s="8">
        <v>1.66</v>
      </c>
      <c r="F1542" s="8"/>
      <c r="G1542" s="8">
        <v>1.83</v>
      </c>
      <c r="H1542" s="9">
        <f t="shared" si="164"/>
        <v>6.0755999999999997</v>
      </c>
      <c r="I1542" s="138"/>
      <c r="J1542" s="18"/>
      <c r="K1542" s="18"/>
    </row>
    <row r="1543" spans="2:14">
      <c r="B1543" s="13"/>
      <c r="C1543" s="27"/>
      <c r="D1543" s="7">
        <v>1</v>
      </c>
      <c r="E1543" s="8">
        <v>1.66</v>
      </c>
      <c r="F1543" s="8"/>
      <c r="G1543" s="8">
        <v>1.22</v>
      </c>
      <c r="H1543" s="9">
        <f t="shared" si="164"/>
        <v>2.0251999999999999</v>
      </c>
      <c r="I1543" s="138"/>
      <c r="J1543" s="18"/>
      <c r="K1543" s="18"/>
      <c r="N1543" s="121"/>
    </row>
    <row r="1544" spans="2:14">
      <c r="B1544" s="13"/>
      <c r="C1544" s="27" t="s">
        <v>61</v>
      </c>
      <c r="D1544" s="7">
        <v>3</v>
      </c>
      <c r="E1544" s="8">
        <v>3</v>
      </c>
      <c r="F1544" s="8"/>
      <c r="G1544" s="8">
        <v>6.71</v>
      </c>
      <c r="H1544" s="9">
        <f t="shared" si="164"/>
        <v>60.39</v>
      </c>
      <c r="I1544" s="138"/>
      <c r="J1544" s="18"/>
      <c r="K1544" s="18"/>
    </row>
    <row r="1545" spans="2:14">
      <c r="B1545" s="13"/>
      <c r="C1545" s="27" t="s">
        <v>58</v>
      </c>
      <c r="D1545" s="7"/>
      <c r="E1545" s="8"/>
      <c r="F1545" s="8"/>
      <c r="G1545" s="8">
        <f>SUM(H1536:H1544)*0.15</f>
        <v>46.919267999999995</v>
      </c>
      <c r="H1545" s="9">
        <f>PRODUCT(D1545:G1545)</f>
        <v>46.919267999999995</v>
      </c>
      <c r="I1545" s="138"/>
      <c r="J1545" s="18"/>
      <c r="K1545" s="18"/>
    </row>
    <row r="1546" spans="2:14">
      <c r="B1546" s="13"/>
      <c r="C1546" s="27"/>
      <c r="D1546" s="7"/>
      <c r="E1546" s="8"/>
      <c r="F1546" s="8"/>
      <c r="G1546" s="8"/>
      <c r="H1546" s="9"/>
      <c r="I1546" s="138"/>
      <c r="J1546" s="18"/>
      <c r="K1546" s="18"/>
    </row>
    <row r="1547" spans="2:14">
      <c r="B1547" s="13"/>
      <c r="C1547" s="27"/>
      <c r="D1547" s="7"/>
      <c r="E1547" s="8"/>
      <c r="F1547" s="8"/>
      <c r="G1547" s="8"/>
      <c r="H1547" s="9"/>
      <c r="I1547" s="138"/>
      <c r="J1547" s="18"/>
      <c r="K1547" s="18"/>
    </row>
    <row r="1548" spans="2:14" ht="15" thickBot="1">
      <c r="B1548" s="13"/>
      <c r="C1548" s="27"/>
      <c r="D1548" s="7"/>
      <c r="E1548" s="8"/>
      <c r="F1548" s="8"/>
      <c r="G1548" s="8"/>
      <c r="H1548" s="9"/>
      <c r="I1548" s="139"/>
      <c r="J1548" s="18"/>
      <c r="K1548" s="18"/>
    </row>
    <row r="1549" spans="2:14" ht="15" thickBot="1">
      <c r="B1549" s="13"/>
      <c r="C1549" s="45" t="s">
        <v>596</v>
      </c>
      <c r="D1549" s="7">
        <v>1</v>
      </c>
      <c r="E1549" s="8">
        <v>20</v>
      </c>
      <c r="F1549" s="8"/>
      <c r="G1549" s="8"/>
      <c r="H1549" s="151">
        <f t="shared" ref="H1549" si="166">PRODUCT(D1549:G1549)</f>
        <v>20</v>
      </c>
      <c r="I1549" s="136">
        <f>SUM(H1549:H1550)</f>
        <v>20</v>
      </c>
      <c r="J1549" s="130"/>
      <c r="K1549" s="18"/>
    </row>
    <row r="1550" spans="2:14">
      <c r="B1550" s="13"/>
      <c r="C1550" s="27"/>
      <c r="D1550" s="7"/>
      <c r="E1550" s="8"/>
      <c r="F1550" s="8"/>
      <c r="G1550" s="8"/>
      <c r="H1550" s="9"/>
      <c r="I1550" s="137"/>
      <c r="J1550" s="18"/>
      <c r="K1550" s="18"/>
    </row>
    <row r="1551" spans="2:14">
      <c r="B1551" s="13"/>
      <c r="C1551" s="27"/>
      <c r="D1551" s="7"/>
      <c r="E1551" s="8"/>
      <c r="F1551" s="8"/>
      <c r="G1551" s="8"/>
      <c r="H1551" s="9"/>
      <c r="I1551" s="138"/>
      <c r="J1551" s="18"/>
      <c r="K1551" s="18"/>
    </row>
    <row r="1552" spans="2:14">
      <c r="B1552" s="13"/>
      <c r="C1552" s="27"/>
      <c r="D1552" s="7"/>
      <c r="E1552" s="8"/>
      <c r="F1552" s="8"/>
      <c r="G1552" s="8"/>
      <c r="H1552" s="9"/>
      <c r="I1552" s="138"/>
      <c r="J1552" s="18"/>
      <c r="K1552" s="18"/>
    </row>
    <row r="1553" spans="2:11" ht="15" thickBot="1">
      <c r="B1553" s="13"/>
      <c r="C1553" s="27"/>
      <c r="D1553" s="7"/>
      <c r="E1553" s="8"/>
      <c r="F1553" s="8"/>
      <c r="G1553" s="8"/>
      <c r="H1553" s="9"/>
      <c r="I1553" s="139"/>
      <c r="J1553" s="18"/>
      <c r="K1553" s="18"/>
    </row>
    <row r="1554" spans="2:11" ht="15" thickBot="1">
      <c r="B1554" s="13"/>
      <c r="C1554" s="45" t="s">
        <v>597</v>
      </c>
      <c r="D1554" s="7"/>
      <c r="E1554" s="8"/>
      <c r="F1554" s="8"/>
      <c r="G1554" s="8"/>
      <c r="H1554" s="151"/>
      <c r="I1554" s="136">
        <f>SUM(H1555:H1561)</f>
        <v>76.948363000000001</v>
      </c>
      <c r="J1554" s="130"/>
      <c r="K1554" s="18"/>
    </row>
    <row r="1555" spans="2:11">
      <c r="B1555" s="13"/>
      <c r="C1555" s="27" t="s">
        <v>200</v>
      </c>
      <c r="D1555" s="7">
        <v>2</v>
      </c>
      <c r="E1555" s="8">
        <v>5.88</v>
      </c>
      <c r="F1555" s="8"/>
      <c r="G1555" s="8">
        <v>3.351</v>
      </c>
      <c r="H1555" s="9">
        <f t="shared" ref="H1555:H1560" si="167">PRODUCT(D1555:G1555)</f>
        <v>39.407759999999996</v>
      </c>
      <c r="I1555" s="137" t="s">
        <v>201</v>
      </c>
      <c r="J1555" s="18"/>
      <c r="K1555" s="18"/>
    </row>
    <row r="1556" spans="2:11">
      <c r="B1556" s="13"/>
      <c r="C1556" s="27"/>
      <c r="D1556" s="7">
        <v>2</v>
      </c>
      <c r="E1556" s="8">
        <v>0.17</v>
      </c>
      <c r="F1556" s="8"/>
      <c r="G1556" s="8">
        <v>3.351</v>
      </c>
      <c r="H1556" s="9">
        <f t="shared" si="167"/>
        <v>1.13934</v>
      </c>
      <c r="I1556" s="138" t="s">
        <v>201</v>
      </c>
      <c r="J1556" s="18"/>
      <c r="K1556" s="18"/>
    </row>
    <row r="1557" spans="2:11">
      <c r="B1557" s="13"/>
      <c r="C1557" s="27" t="s">
        <v>202</v>
      </c>
      <c r="D1557" s="7">
        <f>ROUND(3.75/0.3,0)</f>
        <v>13</v>
      </c>
      <c r="E1557" s="8">
        <v>0.56000000000000005</v>
      </c>
      <c r="F1557" s="8"/>
      <c r="G1557" s="8">
        <v>2.2490000000000001</v>
      </c>
      <c r="H1557" s="9">
        <f t="shared" si="167"/>
        <v>16.372720000000005</v>
      </c>
      <c r="I1557" s="138" t="s">
        <v>203</v>
      </c>
      <c r="J1557" s="18"/>
      <c r="K1557" s="18"/>
    </row>
    <row r="1558" spans="2:11">
      <c r="B1558" s="13"/>
      <c r="C1558" s="27" t="s">
        <v>204</v>
      </c>
      <c r="D1558" s="7">
        <v>5</v>
      </c>
      <c r="E1558" s="8">
        <v>1.56</v>
      </c>
      <c r="F1558" s="8"/>
      <c r="G1558" s="8">
        <v>0.64</v>
      </c>
      <c r="H1558" s="9">
        <f t="shared" si="167"/>
        <v>4.9920000000000009</v>
      </c>
      <c r="I1558" s="138"/>
      <c r="J1558" s="18"/>
      <c r="K1558" s="18"/>
    </row>
    <row r="1559" spans="2:11">
      <c r="B1559" s="13"/>
      <c r="C1559" s="27"/>
      <c r="D1559" s="7">
        <v>3</v>
      </c>
      <c r="E1559" s="8">
        <v>1.5</v>
      </c>
      <c r="F1559" s="8"/>
      <c r="G1559" s="8">
        <v>0.64</v>
      </c>
      <c r="H1559" s="9">
        <f t="shared" si="167"/>
        <v>2.88</v>
      </c>
      <c r="I1559" s="138"/>
      <c r="J1559" s="18"/>
      <c r="K1559" s="18"/>
    </row>
    <row r="1560" spans="2:11">
      <c r="B1560" s="13"/>
      <c r="C1560" s="27" t="s">
        <v>205</v>
      </c>
      <c r="D1560" s="7">
        <v>6</v>
      </c>
      <c r="E1560" s="8">
        <v>0.1</v>
      </c>
      <c r="F1560" s="8">
        <v>0.1</v>
      </c>
      <c r="G1560" s="8">
        <v>35.33</v>
      </c>
      <c r="H1560" s="9">
        <f t="shared" si="167"/>
        <v>2.1198000000000001</v>
      </c>
      <c r="I1560" s="138" t="s">
        <v>206</v>
      </c>
      <c r="J1560" s="18"/>
      <c r="K1560" s="18"/>
    </row>
    <row r="1561" spans="2:11">
      <c r="B1561" s="13"/>
      <c r="C1561" s="27" t="s">
        <v>58</v>
      </c>
      <c r="D1561" s="7"/>
      <c r="E1561" s="8"/>
      <c r="F1561" s="8"/>
      <c r="G1561" s="8">
        <f>SUM(H1555:H1560)*0.15</f>
        <v>10.036743</v>
      </c>
      <c r="H1561" s="9">
        <f>PRODUCT(D1561:G1561)</f>
        <v>10.036743</v>
      </c>
      <c r="I1561" s="138"/>
      <c r="J1561" s="18"/>
      <c r="K1561" s="18"/>
    </row>
    <row r="1562" spans="2:11">
      <c r="B1562" s="13"/>
      <c r="I1562" s="138"/>
      <c r="J1562" s="18"/>
      <c r="K1562" s="18"/>
    </row>
    <row r="1563" spans="2:11">
      <c r="B1563" s="13"/>
      <c r="C1563" s="19"/>
      <c r="D1563" s="19"/>
      <c r="E1563" s="19"/>
      <c r="F1563" s="19"/>
      <c r="G1563" s="19"/>
      <c r="H1563" s="19"/>
      <c r="I1563" s="138"/>
      <c r="J1563" s="18"/>
      <c r="K1563" s="18"/>
    </row>
    <row r="1564" spans="2:11" ht="15" thickBot="1">
      <c r="B1564" s="13"/>
      <c r="C1564" s="45" t="s">
        <v>578</v>
      </c>
      <c r="D1564" s="7"/>
      <c r="E1564" s="8"/>
      <c r="F1564" s="8"/>
      <c r="G1564" s="8"/>
      <c r="H1564" s="9"/>
      <c r="J1564" s="18"/>
      <c r="K1564" s="18"/>
    </row>
    <row r="1565" spans="2:11" ht="15" thickBot="1">
      <c r="B1565" s="13"/>
      <c r="C1565" s="27"/>
      <c r="D1565" s="7"/>
      <c r="E1565" s="8"/>
      <c r="F1565" s="8"/>
      <c r="G1565" s="8"/>
      <c r="H1565" s="151"/>
      <c r="I1565" s="136">
        <f>SUM(H1567:H1575)</f>
        <v>198.22964000000002</v>
      </c>
      <c r="J1565" s="130"/>
      <c r="K1565" s="18"/>
    </row>
    <row r="1566" spans="2:11">
      <c r="B1566" s="13"/>
      <c r="C1566" s="45" t="s">
        <v>579</v>
      </c>
      <c r="D1566" s="7"/>
      <c r="E1566" s="8"/>
      <c r="F1566" s="8"/>
      <c r="G1566" s="8"/>
      <c r="H1566" s="9"/>
      <c r="I1566" s="137"/>
      <c r="J1566" s="18"/>
      <c r="K1566" s="18"/>
    </row>
    <row r="1567" spans="2:11">
      <c r="B1567" s="13"/>
      <c r="C1567" s="27" t="s">
        <v>580</v>
      </c>
      <c r="D1567" s="7">
        <f>2*2</f>
        <v>4</v>
      </c>
      <c r="E1567" s="8">
        <v>4.95</v>
      </c>
      <c r="F1567" s="8"/>
      <c r="G1567" s="8">
        <v>3.351</v>
      </c>
      <c r="H1567" s="9">
        <f t="shared" ref="H1567:H1574" si="168">PRODUCT(D1567:G1567)</f>
        <v>66.349800000000002</v>
      </c>
      <c r="I1567" s="138"/>
      <c r="J1567" s="18"/>
      <c r="K1567" s="18"/>
    </row>
    <row r="1568" spans="2:11">
      <c r="B1568" s="13"/>
      <c r="C1568" s="27" t="s">
        <v>491</v>
      </c>
      <c r="D1568" s="7">
        <f>5*2</f>
        <v>10</v>
      </c>
      <c r="E1568" s="8">
        <v>0.9</v>
      </c>
      <c r="F1568" s="8"/>
      <c r="G1568" s="8">
        <v>3.351</v>
      </c>
      <c r="H1568" s="9">
        <f t="shared" si="168"/>
        <v>30.158999999999999</v>
      </c>
      <c r="I1568" s="138"/>
      <c r="J1568" s="18"/>
      <c r="K1568" s="18"/>
    </row>
    <row r="1569" spans="2:11">
      <c r="B1569" s="13"/>
      <c r="C1569" s="27" t="s">
        <v>581</v>
      </c>
      <c r="D1569" s="7">
        <f>5*2</f>
        <v>10</v>
      </c>
      <c r="E1569" s="52">
        <f>0.15*0.15</f>
        <v>2.2499999999999999E-2</v>
      </c>
      <c r="F1569" s="8"/>
      <c r="G1569" s="8">
        <v>47.1</v>
      </c>
      <c r="H1569" s="9">
        <f t="shared" si="168"/>
        <v>10.5975</v>
      </c>
      <c r="I1569" s="138"/>
      <c r="J1569" s="18"/>
      <c r="K1569" s="18"/>
    </row>
    <row r="1570" spans="2:11">
      <c r="B1570" s="13"/>
      <c r="C1570" s="27" t="s">
        <v>582</v>
      </c>
      <c r="D1570" s="7">
        <f>5*2</f>
        <v>10</v>
      </c>
      <c r="E1570" s="52">
        <v>0.25</v>
      </c>
      <c r="F1570" s="8"/>
      <c r="G1570" s="8">
        <v>1</v>
      </c>
      <c r="H1570" s="9">
        <f t="shared" si="168"/>
        <v>2.5</v>
      </c>
      <c r="I1570" s="138"/>
      <c r="J1570" s="18"/>
      <c r="K1570" s="18"/>
    </row>
    <row r="1571" spans="2:11">
      <c r="B1571" s="13"/>
      <c r="C1571" s="27" t="s">
        <v>583</v>
      </c>
      <c r="D1571" s="7">
        <f>2*2</f>
        <v>4</v>
      </c>
      <c r="E1571" s="8">
        <v>4</v>
      </c>
      <c r="F1571" s="8"/>
      <c r="G1571" s="8">
        <v>3.351</v>
      </c>
      <c r="H1571" s="9">
        <f t="shared" si="168"/>
        <v>53.616</v>
      </c>
      <c r="I1571" s="138"/>
      <c r="J1571" s="18"/>
      <c r="K1571" s="18"/>
    </row>
    <row r="1572" spans="2:11">
      <c r="B1572" s="13"/>
      <c r="C1572" s="27" t="s">
        <v>491</v>
      </c>
      <c r="D1572" s="7">
        <f>1*2</f>
        <v>2</v>
      </c>
      <c r="E1572" s="8">
        <v>0.9</v>
      </c>
      <c r="F1572" s="8"/>
      <c r="G1572" s="8">
        <v>3.351</v>
      </c>
      <c r="H1572" s="9">
        <f t="shared" si="168"/>
        <v>6.0318000000000005</v>
      </c>
      <c r="I1572" s="138"/>
      <c r="J1572" s="18"/>
      <c r="K1572" s="18"/>
    </row>
    <row r="1573" spans="2:11">
      <c r="B1573" s="13"/>
      <c r="C1573" s="27" t="s">
        <v>581</v>
      </c>
      <c r="D1573" s="7">
        <f>1*2</f>
        <v>2</v>
      </c>
      <c r="E1573" s="52">
        <f>0.15*0.15</f>
        <v>2.2499999999999999E-2</v>
      </c>
      <c r="F1573" s="8"/>
      <c r="G1573" s="8">
        <v>47.1</v>
      </c>
      <c r="H1573" s="9">
        <f t="shared" si="168"/>
        <v>2.1194999999999999</v>
      </c>
      <c r="I1573" s="138"/>
      <c r="J1573" s="18"/>
      <c r="K1573" s="18"/>
    </row>
    <row r="1574" spans="2:11">
      <c r="B1574" s="13"/>
      <c r="C1574" s="27" t="s">
        <v>582</v>
      </c>
      <c r="D1574" s="7">
        <f>2*2</f>
        <v>4</v>
      </c>
      <c r="E1574" s="52">
        <v>0.25</v>
      </c>
      <c r="F1574" s="8"/>
      <c r="G1574" s="8">
        <v>1</v>
      </c>
      <c r="H1574" s="9">
        <f t="shared" si="168"/>
        <v>1</v>
      </c>
      <c r="I1574" s="138"/>
      <c r="J1574" s="18"/>
      <c r="K1574" s="18"/>
    </row>
    <row r="1575" spans="2:11">
      <c r="B1575" s="13"/>
      <c r="C1575" s="27" t="s">
        <v>58</v>
      </c>
      <c r="D1575" s="7"/>
      <c r="E1575" s="8"/>
      <c r="F1575" s="8"/>
      <c r="G1575" s="8">
        <f>SUM(H1567:H1574)*0.15</f>
        <v>25.85604</v>
      </c>
      <c r="H1575" s="9">
        <f>PRODUCT(D1575:G1575)</f>
        <v>25.85604</v>
      </c>
      <c r="I1575" s="138"/>
      <c r="J1575" s="18"/>
      <c r="K1575" s="18"/>
    </row>
    <row r="1576" spans="2:11" ht="15" thickBot="1">
      <c r="B1576" s="13"/>
      <c r="C1576" s="45" t="s">
        <v>658</v>
      </c>
      <c r="D1576" s="7"/>
      <c r="E1576" s="8"/>
      <c r="F1576" s="8"/>
      <c r="G1576" s="8"/>
      <c r="H1576" s="9"/>
      <c r="I1576" s="139"/>
      <c r="J1576" s="18"/>
      <c r="K1576" s="18"/>
    </row>
    <row r="1577" spans="2:11" ht="15" thickBot="1">
      <c r="B1577" s="13"/>
      <c r="C1577" s="27" t="s">
        <v>584</v>
      </c>
      <c r="D1577" s="7">
        <v>2</v>
      </c>
      <c r="E1577" s="8">
        <v>0.8</v>
      </c>
      <c r="F1577" s="8"/>
      <c r="G1577" s="8">
        <v>7.65</v>
      </c>
      <c r="H1577" s="151">
        <f>PRODUCT(D1577:G1577)</f>
        <v>12.240000000000002</v>
      </c>
      <c r="I1577" s="136">
        <f>SUM(H1577:H1585)</f>
        <v>1271.7660249999999</v>
      </c>
      <c r="J1577" s="130"/>
      <c r="K1577" s="18"/>
    </row>
    <row r="1578" spans="2:11">
      <c r="B1578" s="13"/>
      <c r="C1578" s="27" t="s">
        <v>585</v>
      </c>
      <c r="D1578" s="7">
        <v>2</v>
      </c>
      <c r="E1578" s="8">
        <v>0.3</v>
      </c>
      <c r="F1578" s="8"/>
      <c r="G1578" s="8">
        <v>7.65</v>
      </c>
      <c r="H1578" s="9">
        <f>PRODUCT(D1578:G1578)</f>
        <v>4.59</v>
      </c>
      <c r="I1578" s="137"/>
      <c r="J1578" s="18"/>
      <c r="K1578" s="18"/>
    </row>
    <row r="1579" spans="2:11">
      <c r="B1579" s="13"/>
      <c r="C1579" s="27" t="s">
        <v>586</v>
      </c>
      <c r="D1579" s="7">
        <v>4</v>
      </c>
      <c r="E1579" s="8">
        <f>0.2*0.2</f>
        <v>4.0000000000000008E-2</v>
      </c>
      <c r="F1579" s="8"/>
      <c r="G1579" s="8">
        <v>94.2</v>
      </c>
      <c r="H1579" s="9">
        <f>PRODUCT(D1579:G1579)</f>
        <v>15.072000000000003</v>
      </c>
      <c r="I1579" s="138"/>
      <c r="J1579" s="18"/>
      <c r="K1579" s="18"/>
    </row>
    <row r="1580" spans="2:11">
      <c r="B1580" s="13"/>
      <c r="C1580" s="27"/>
      <c r="D1580" s="7"/>
      <c r="E1580" s="8"/>
      <c r="F1580" s="8"/>
      <c r="G1580" s="8"/>
      <c r="H1580" s="9"/>
      <c r="I1580" s="138"/>
      <c r="J1580" s="18"/>
      <c r="K1580" s="18"/>
    </row>
    <row r="1581" spans="2:11">
      <c r="B1581" s="13"/>
      <c r="C1581" s="27" t="s">
        <v>587</v>
      </c>
      <c r="D1581" s="7"/>
      <c r="E1581" s="8"/>
      <c r="F1581" s="8"/>
      <c r="G1581" s="8"/>
      <c r="H1581" s="9"/>
      <c r="I1581" s="138"/>
      <c r="J1581" s="18"/>
      <c r="K1581" s="18"/>
    </row>
    <row r="1582" spans="2:11">
      <c r="B1582" s="13"/>
      <c r="C1582" s="27" t="s">
        <v>588</v>
      </c>
      <c r="D1582" s="7">
        <v>3</v>
      </c>
      <c r="E1582" s="8">
        <v>4.95</v>
      </c>
      <c r="F1582" s="8"/>
      <c r="G1582" s="8">
        <v>19.39</v>
      </c>
      <c r="H1582" s="9">
        <f t="shared" ref="H1582:H1584" si="169">PRODUCT(D1582:G1582)</f>
        <v>287.94150000000002</v>
      </c>
      <c r="I1582" s="138"/>
      <c r="J1582" s="18"/>
      <c r="K1582" s="18"/>
    </row>
    <row r="1583" spans="2:11">
      <c r="B1583" s="13"/>
      <c r="C1583" s="27" t="s">
        <v>588</v>
      </c>
      <c r="D1583" s="7">
        <v>4</v>
      </c>
      <c r="E1583" s="8">
        <v>4</v>
      </c>
      <c r="F1583" s="8"/>
      <c r="G1583" s="8">
        <v>19.39</v>
      </c>
      <c r="H1583" s="9">
        <f t="shared" si="169"/>
        <v>310.24</v>
      </c>
      <c r="I1583" s="138"/>
      <c r="J1583" s="18"/>
      <c r="K1583" s="18"/>
    </row>
    <row r="1584" spans="2:11">
      <c r="B1584" s="13"/>
      <c r="C1584" s="156" t="s">
        <v>589</v>
      </c>
      <c r="D1584" s="41">
        <v>1</v>
      </c>
      <c r="E1584" s="20">
        <v>15.86</v>
      </c>
      <c r="F1584" s="20"/>
      <c r="G1584" s="20">
        <v>30</v>
      </c>
      <c r="H1584" s="9">
        <f t="shared" si="169"/>
        <v>475.79999999999995</v>
      </c>
      <c r="I1584" s="138"/>
      <c r="J1584" s="18"/>
      <c r="K1584" s="18"/>
    </row>
    <row r="1585" spans="2:11" ht="15" thickBot="1">
      <c r="B1585" s="13"/>
      <c r="C1585" s="27" t="s">
        <v>58</v>
      </c>
      <c r="D1585" s="7"/>
      <c r="E1585" s="8"/>
      <c r="F1585" s="8"/>
      <c r="G1585" s="8">
        <f>SUM(H1577:H1584)*0.15</f>
        <v>165.88252499999999</v>
      </c>
      <c r="H1585" s="9">
        <f>PRODUCT(D1585:G1585)</f>
        <v>165.88252499999999</v>
      </c>
      <c r="I1585" s="139"/>
      <c r="J1585" s="18"/>
      <c r="K1585" s="18"/>
    </row>
    <row r="1586" spans="2:11" ht="15" thickBot="1">
      <c r="B1586" s="13"/>
      <c r="C1586" s="45" t="s">
        <v>590</v>
      </c>
      <c r="D1586" s="7"/>
      <c r="E1586" s="8"/>
      <c r="F1586" s="8"/>
      <c r="G1586" s="8"/>
      <c r="H1586" s="151"/>
      <c r="I1586" s="136">
        <f>SUM(H1588:H1592)</f>
        <v>296.79303499999997</v>
      </c>
      <c r="J1586" s="130"/>
      <c r="K1586" s="18"/>
    </row>
    <row r="1587" spans="2:11">
      <c r="B1587" s="13"/>
      <c r="C1587" s="27"/>
      <c r="D1587" s="7"/>
      <c r="E1587" s="8"/>
      <c r="F1587" s="8"/>
      <c r="G1587" s="8"/>
      <c r="H1587" s="9"/>
      <c r="I1587" s="137"/>
      <c r="J1587" s="18"/>
      <c r="K1587" s="18"/>
    </row>
    <row r="1588" spans="2:11">
      <c r="B1588" s="13"/>
      <c r="C1588" s="27" t="s">
        <v>588</v>
      </c>
      <c r="D1588" s="7">
        <v>2</v>
      </c>
      <c r="E1588" s="8">
        <v>3.23</v>
      </c>
      <c r="F1588" s="8"/>
      <c r="G1588" s="8">
        <v>19.39</v>
      </c>
      <c r="H1588" s="9">
        <f t="shared" ref="H1588:H1591" si="170">PRODUCT(D1588:G1588)</f>
        <v>125.2594</v>
      </c>
      <c r="I1588" s="138"/>
      <c r="J1588" s="18"/>
      <c r="K1588" s="18"/>
    </row>
    <row r="1589" spans="2:11">
      <c r="B1589" s="13"/>
      <c r="C1589" s="27" t="s">
        <v>588</v>
      </c>
      <c r="D1589" s="7">
        <v>2</v>
      </c>
      <c r="E1589" s="8">
        <v>2.4</v>
      </c>
      <c r="F1589" s="8"/>
      <c r="G1589" s="8">
        <v>19.39</v>
      </c>
      <c r="H1589" s="9">
        <f t="shared" si="170"/>
        <v>93.072000000000003</v>
      </c>
      <c r="I1589" s="138"/>
      <c r="J1589" s="18"/>
      <c r="K1589" s="18"/>
    </row>
    <row r="1590" spans="2:11">
      <c r="B1590" s="13"/>
      <c r="C1590" s="27" t="s">
        <v>588</v>
      </c>
      <c r="D1590" s="7">
        <v>1</v>
      </c>
      <c r="E1590" s="8">
        <v>1.05</v>
      </c>
      <c r="F1590" s="8"/>
      <c r="G1590" s="8">
        <v>19.39</v>
      </c>
      <c r="H1590" s="9">
        <f t="shared" si="170"/>
        <v>20.359500000000001</v>
      </c>
      <c r="I1590" s="138"/>
      <c r="J1590" s="18"/>
      <c r="K1590" s="18"/>
    </row>
    <row r="1591" spans="2:11">
      <c r="B1591" s="13"/>
      <c r="C1591" s="27" t="s">
        <v>591</v>
      </c>
      <c r="D1591" s="7">
        <v>2</v>
      </c>
      <c r="E1591" s="8">
        <v>0.5</v>
      </c>
      <c r="F1591" s="8"/>
      <c r="G1591" s="8">
        <v>19.39</v>
      </c>
      <c r="H1591" s="9">
        <f t="shared" si="170"/>
        <v>19.39</v>
      </c>
      <c r="I1591" s="138"/>
      <c r="J1591" s="18"/>
      <c r="K1591" s="18"/>
    </row>
    <row r="1592" spans="2:11">
      <c r="B1592" s="13"/>
      <c r="C1592" s="27" t="s">
        <v>58</v>
      </c>
      <c r="D1592" s="7"/>
      <c r="E1592" s="8"/>
      <c r="F1592" s="8"/>
      <c r="G1592" s="8">
        <f>SUM(H1588:H1591)*0.15</f>
        <v>38.712134999999996</v>
      </c>
      <c r="H1592" s="9">
        <f>PRODUCT(D1592:G1592)</f>
        <v>38.712134999999996</v>
      </c>
      <c r="I1592" s="138"/>
      <c r="J1592" s="18"/>
      <c r="K1592" s="18"/>
    </row>
  </sheetData>
  <mergeCells count="53">
    <mergeCell ref="C1518:H1518"/>
    <mergeCell ref="C1141:H1141"/>
    <mergeCell ref="C1145:H1145"/>
    <mergeCell ref="C1203:H1203"/>
    <mergeCell ref="C1436:H1436"/>
    <mergeCell ref="C1466:H1466"/>
    <mergeCell ref="C1489:H1489"/>
    <mergeCell ref="C1493:H1493"/>
    <mergeCell ref="C1503:H1503"/>
    <mergeCell ref="C1511:H1511"/>
    <mergeCell ref="C1516:H1516"/>
    <mergeCell ref="C1134:H1134"/>
    <mergeCell ref="C1038:H1038"/>
    <mergeCell ref="C1064:H1064"/>
    <mergeCell ref="C1065:H1065"/>
    <mergeCell ref="C1072:H1072"/>
    <mergeCell ref="C1079:H1079"/>
    <mergeCell ref="C1086:H1086"/>
    <mergeCell ref="C1087:H1087"/>
    <mergeCell ref="C1102:H1102"/>
    <mergeCell ref="C1113:H1113"/>
    <mergeCell ref="C1126:H1126"/>
    <mergeCell ref="C1127:H1127"/>
    <mergeCell ref="C1007:H1007"/>
    <mergeCell ref="C392:H392"/>
    <mergeCell ref="C393:H393"/>
    <mergeCell ref="C440:H440"/>
    <mergeCell ref="C527:H527"/>
    <mergeCell ref="C574:H574"/>
    <mergeCell ref="C575:H575"/>
    <mergeCell ref="C663:H663"/>
    <mergeCell ref="C826:H826"/>
    <mergeCell ref="C912:H912"/>
    <mergeCell ref="C913:H913"/>
    <mergeCell ref="C957:H957"/>
    <mergeCell ref="C384:H384"/>
    <mergeCell ref="C174:H174"/>
    <mergeCell ref="C175:H175"/>
    <mergeCell ref="C180:H180"/>
    <mergeCell ref="C181:H181"/>
    <mergeCell ref="C230:H230"/>
    <mergeCell ref="C231:H231"/>
    <mergeCell ref="C283:H283"/>
    <mergeCell ref="C334:H334"/>
    <mergeCell ref="C358:H358"/>
    <mergeCell ref="C359:H359"/>
    <mergeCell ref="C366:H366"/>
    <mergeCell ref="C170:H170"/>
    <mergeCell ref="B2:K2"/>
    <mergeCell ref="C4:H4"/>
    <mergeCell ref="C6:H6"/>
    <mergeCell ref="C91:H91"/>
    <mergeCell ref="C169:H169"/>
  </mergeCells>
  <pageMargins left="0.7" right="0.7" top="0.75" bottom="0.75" header="0.3" footer="0.3"/>
  <pageSetup paperSize="9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29"/>
  <sheetViews>
    <sheetView view="pageBreakPreview" zoomScale="85" zoomScaleNormal="100" zoomScaleSheetLayoutView="85" workbookViewId="0">
      <pane ySplit="1" topLeftCell="A161" activePane="bottomLeft" state="frozen"/>
      <selection pane="bottomLeft" activeCell="C175" sqref="C175"/>
    </sheetView>
  </sheetViews>
  <sheetFormatPr baseColWidth="10" defaultColWidth="11.44140625" defaultRowHeight="14.4"/>
  <cols>
    <col min="2" max="2" width="42.33203125" customWidth="1"/>
    <col min="9" max="9" width="23.33203125" customWidth="1"/>
    <col min="10" max="10" width="16.6640625" customWidth="1"/>
  </cols>
  <sheetData>
    <row r="1" spans="1:14" ht="22.5" customHeight="1">
      <c r="A1" s="2" t="s">
        <v>0</v>
      </c>
      <c r="B1" s="2" t="s">
        <v>13</v>
      </c>
      <c r="C1" s="2" t="s">
        <v>14</v>
      </c>
      <c r="D1" s="3" t="s">
        <v>15</v>
      </c>
      <c r="E1" s="3" t="s">
        <v>16</v>
      </c>
      <c r="F1" s="3" t="s">
        <v>17</v>
      </c>
      <c r="G1" s="2" t="s">
        <v>1</v>
      </c>
      <c r="H1" s="2" t="s">
        <v>12</v>
      </c>
      <c r="I1" s="2" t="s">
        <v>43</v>
      </c>
      <c r="J1" s="2" t="s">
        <v>41</v>
      </c>
    </row>
    <row r="2" spans="1:14">
      <c r="A2" s="4">
        <v>27</v>
      </c>
      <c r="B2" s="197" t="s">
        <v>49</v>
      </c>
      <c r="C2" s="198"/>
      <c r="D2" s="198"/>
      <c r="E2" s="198"/>
      <c r="F2" s="198"/>
      <c r="G2" s="194"/>
      <c r="H2" s="5">
        <f>SUM(G25:G26)</f>
        <v>0</v>
      </c>
      <c r="I2" s="5" t="s">
        <v>11</v>
      </c>
      <c r="J2" s="5"/>
    </row>
    <row r="3" spans="1:14">
      <c r="A3" s="4"/>
      <c r="B3" s="46" t="s">
        <v>50</v>
      </c>
      <c r="C3" s="47"/>
      <c r="D3" s="47"/>
      <c r="E3" s="47"/>
      <c r="F3" s="47"/>
      <c r="G3" s="48"/>
      <c r="H3" s="5"/>
      <c r="I3" s="5"/>
      <c r="J3" s="5"/>
    </row>
    <row r="4" spans="1:14">
      <c r="A4" s="13"/>
      <c r="B4" s="15"/>
      <c r="C4" s="7"/>
      <c r="D4" s="8"/>
      <c r="E4" s="8"/>
      <c r="F4" s="8"/>
      <c r="G4" s="9"/>
      <c r="H4" s="11"/>
      <c r="I4" s="18"/>
      <c r="J4" s="19"/>
    </row>
    <row r="5" spans="1:14">
      <c r="A5" s="13"/>
      <c r="B5" s="15" t="s">
        <v>156</v>
      </c>
      <c r="C5" s="7">
        <v>1</v>
      </c>
      <c r="D5" s="8">
        <f>6.52+1.2+1.2</f>
        <v>8.92</v>
      </c>
      <c r="E5" s="8"/>
      <c r="F5" s="8"/>
      <c r="G5" s="9">
        <f>PRODUCT(C5:F5)</f>
        <v>8.92</v>
      </c>
      <c r="H5" s="11">
        <f>SUM(G5:G8)</f>
        <v>26.270000000000003</v>
      </c>
      <c r="I5" s="18" t="s">
        <v>549</v>
      </c>
      <c r="J5" s="19"/>
      <c r="K5" t="s">
        <v>425</v>
      </c>
    </row>
    <row r="6" spans="1:14">
      <c r="A6" s="13"/>
      <c r="B6" s="15" t="s">
        <v>158</v>
      </c>
      <c r="C6" s="7">
        <v>1</v>
      </c>
      <c r="D6" s="8">
        <f>0.9+0.5+1.5</f>
        <v>2.9</v>
      </c>
      <c r="E6" s="8"/>
      <c r="F6" s="8"/>
      <c r="G6" s="9">
        <f>PRODUCT(C6:F6)</f>
        <v>2.9</v>
      </c>
      <c r="H6" s="11"/>
      <c r="I6" s="18" t="s">
        <v>426</v>
      </c>
      <c r="J6" s="19"/>
    </row>
    <row r="7" spans="1:14">
      <c r="A7" s="13"/>
      <c r="B7" s="15"/>
      <c r="C7" s="7">
        <v>1</v>
      </c>
      <c r="D7" s="8">
        <f>1.05+0.5+1.5</f>
        <v>3.05</v>
      </c>
      <c r="E7" s="8"/>
      <c r="F7" s="8"/>
      <c r="G7" s="9">
        <f>PRODUCT(C7:F7)</f>
        <v>3.05</v>
      </c>
      <c r="H7" s="11"/>
      <c r="I7" s="18" t="s">
        <v>157</v>
      </c>
      <c r="J7" s="19"/>
    </row>
    <row r="8" spans="1:14">
      <c r="A8" s="13"/>
      <c r="B8" s="15" t="s">
        <v>553</v>
      </c>
      <c r="C8" s="7">
        <v>2</v>
      </c>
      <c r="D8" s="8">
        <f>4.7+1</f>
        <v>5.7</v>
      </c>
      <c r="E8" s="8"/>
      <c r="F8" s="8"/>
      <c r="G8" s="9">
        <f>PRODUCT(C8:F8)</f>
        <v>11.4</v>
      </c>
      <c r="H8" s="11"/>
      <c r="I8" s="18" t="s">
        <v>554</v>
      </c>
      <c r="J8" s="19"/>
    </row>
    <row r="9" spans="1:14">
      <c r="A9" s="13"/>
      <c r="B9" s="15"/>
      <c r="C9" s="7"/>
      <c r="D9" s="8"/>
      <c r="E9" s="8"/>
      <c r="F9" s="8"/>
      <c r="G9" s="9"/>
      <c r="H9" s="11"/>
      <c r="I9" s="18"/>
      <c r="J9" s="19"/>
    </row>
    <row r="10" spans="1:14">
      <c r="A10" s="13"/>
      <c r="B10" s="140" t="s">
        <v>278</v>
      </c>
      <c r="C10" s="7">
        <v>1</v>
      </c>
      <c r="D10" s="8">
        <f>6.087+1.5+1.5</f>
        <v>9.0869999999999997</v>
      </c>
      <c r="E10" s="8"/>
      <c r="F10" s="8"/>
      <c r="G10" s="9">
        <f>PRODUCT(C10:F10)</f>
        <v>9.0869999999999997</v>
      </c>
      <c r="H10" s="11">
        <f>SUM(G10:G11)</f>
        <v>9.0869999999999997</v>
      </c>
      <c r="I10" s="18" t="s">
        <v>159</v>
      </c>
      <c r="J10" s="19"/>
    </row>
    <row r="11" spans="1:14">
      <c r="A11" s="13"/>
      <c r="B11" s="15"/>
      <c r="C11" s="7"/>
      <c r="D11" s="8"/>
      <c r="E11" s="8"/>
      <c r="F11" s="8"/>
      <c r="G11" s="9"/>
      <c r="H11" s="11"/>
      <c r="I11" s="18"/>
      <c r="J11" s="19"/>
    </row>
    <row r="12" spans="1:14">
      <c r="A12" s="13"/>
      <c r="B12" s="15"/>
      <c r="C12" s="7"/>
      <c r="D12" s="8"/>
      <c r="E12" s="8"/>
      <c r="F12" s="8"/>
      <c r="G12" s="9"/>
      <c r="H12" s="11"/>
      <c r="I12" s="18"/>
      <c r="J12" s="19"/>
    </row>
    <row r="13" spans="1:14">
      <c r="A13" s="13"/>
      <c r="B13" s="15" t="s">
        <v>160</v>
      </c>
      <c r="C13" s="7">
        <v>1</v>
      </c>
      <c r="D13" s="8">
        <f>2.35+0.5</f>
        <v>2.85</v>
      </c>
      <c r="E13" s="8"/>
      <c r="F13" s="8"/>
      <c r="G13" s="9">
        <f>PRODUCT(C13:F13)</f>
        <v>2.85</v>
      </c>
      <c r="H13" s="11">
        <f>SUM(G13:G14)</f>
        <v>2.85</v>
      </c>
      <c r="I13" s="18" t="s">
        <v>428</v>
      </c>
      <c r="J13" s="19"/>
    </row>
    <row r="14" spans="1:14">
      <c r="A14" s="13"/>
      <c r="B14" s="15"/>
      <c r="C14" s="7"/>
      <c r="D14" s="8"/>
      <c r="E14" s="8"/>
      <c r="F14" s="8"/>
      <c r="G14" s="9"/>
      <c r="H14" s="11"/>
      <c r="I14" s="18"/>
      <c r="J14" s="19"/>
      <c r="N14" t="s">
        <v>427</v>
      </c>
    </row>
    <row r="15" spans="1:14">
      <c r="A15" s="13"/>
      <c r="B15" s="15"/>
      <c r="C15" s="7"/>
      <c r="D15" s="8"/>
      <c r="E15" s="8"/>
      <c r="F15" s="8"/>
      <c r="G15" s="9"/>
      <c r="H15" s="11"/>
      <c r="I15" s="18"/>
      <c r="J15" s="19"/>
    </row>
    <row r="16" spans="1:14">
      <c r="A16" s="13"/>
      <c r="B16" s="15"/>
      <c r="C16" s="7"/>
      <c r="D16" s="8"/>
      <c r="E16" s="8"/>
      <c r="F16" s="8"/>
      <c r="G16" s="9"/>
      <c r="H16" s="11"/>
      <c r="I16" s="18"/>
      <c r="J16" s="19"/>
    </row>
    <row r="17" spans="1:13">
      <c r="A17" s="13"/>
      <c r="B17" s="15" t="s">
        <v>162</v>
      </c>
      <c r="C17" s="7">
        <v>1</v>
      </c>
      <c r="D17" s="8">
        <f>1.5+3.5+0.6+3.71+0.5</f>
        <v>9.8099999999999987</v>
      </c>
      <c r="E17" s="8"/>
      <c r="F17" s="8"/>
      <c r="G17" s="9">
        <f>PRODUCT(C17:F17)</f>
        <v>9.8099999999999987</v>
      </c>
      <c r="H17" s="11">
        <f>SUM(G17:G18)</f>
        <v>9.8099999999999987</v>
      </c>
      <c r="I17" s="18" t="s">
        <v>550</v>
      </c>
      <c r="J17" s="19"/>
    </row>
    <row r="18" spans="1:13">
      <c r="A18" s="13"/>
      <c r="B18" s="15"/>
      <c r="C18" s="7"/>
      <c r="D18" s="8"/>
      <c r="E18" s="8"/>
      <c r="F18" s="8"/>
      <c r="G18" s="9"/>
      <c r="H18" s="11"/>
      <c r="I18" s="18"/>
      <c r="J18" s="19"/>
    </row>
    <row r="19" spans="1:13">
      <c r="A19" s="13"/>
      <c r="B19" s="15"/>
      <c r="C19" s="7"/>
      <c r="D19" s="8"/>
      <c r="E19" s="8"/>
      <c r="F19" s="8"/>
      <c r="G19" s="9"/>
      <c r="H19" s="11"/>
      <c r="I19" s="18"/>
      <c r="J19" s="19"/>
    </row>
    <row r="20" spans="1:13">
      <c r="A20" s="13"/>
      <c r="B20" s="15"/>
      <c r="C20" s="7"/>
      <c r="D20" s="8"/>
      <c r="E20" s="8"/>
      <c r="F20" s="8"/>
      <c r="G20" s="9"/>
      <c r="H20" s="11"/>
      <c r="I20" s="18"/>
      <c r="J20" s="19"/>
    </row>
    <row r="21" spans="1:13">
      <c r="A21" s="13"/>
      <c r="B21" s="15"/>
      <c r="C21" s="7"/>
      <c r="D21" s="8"/>
      <c r="E21" s="8"/>
      <c r="F21" s="8"/>
      <c r="G21" s="9"/>
      <c r="H21" s="11"/>
      <c r="I21" s="18"/>
      <c r="J21" s="19"/>
    </row>
    <row r="22" spans="1:13">
      <c r="A22" s="13"/>
      <c r="B22" s="15"/>
      <c r="C22" s="7"/>
      <c r="E22" s="8"/>
      <c r="F22" s="8"/>
      <c r="G22" s="9"/>
      <c r="H22" s="11"/>
      <c r="I22" s="18"/>
      <c r="J22" s="19"/>
      <c r="L22">
        <f>35/25.4</f>
        <v>1.3779527559055118</v>
      </c>
      <c r="M22">
        <f>3/8</f>
        <v>0.375</v>
      </c>
    </row>
    <row r="23" spans="1:13">
      <c r="A23" s="13"/>
      <c r="B23" s="15" t="s">
        <v>161</v>
      </c>
      <c r="C23" s="7">
        <v>1</v>
      </c>
      <c r="D23" s="8">
        <f>4.05+1.5+0.6+1.98</f>
        <v>8.129999999999999</v>
      </c>
      <c r="E23" s="8"/>
      <c r="F23" s="8"/>
      <c r="G23" s="9">
        <f>PRODUCT(C23:F23)</f>
        <v>8.129999999999999</v>
      </c>
      <c r="H23" s="11">
        <f>SUM(G23:G24)</f>
        <v>15.62</v>
      </c>
      <c r="I23" s="18" t="s">
        <v>551</v>
      </c>
      <c r="J23" s="19"/>
    </row>
    <row r="24" spans="1:13">
      <c r="A24" s="13"/>
      <c r="B24" s="15"/>
      <c r="C24" s="7">
        <v>1</v>
      </c>
      <c r="D24" s="8">
        <f>4.49+1.5+1.5</f>
        <v>7.49</v>
      </c>
      <c r="E24" s="8"/>
      <c r="F24" s="8"/>
      <c r="G24" s="9">
        <f>PRODUCT(C24:F24)</f>
        <v>7.49</v>
      </c>
      <c r="H24" s="11"/>
      <c r="I24" s="18" t="s">
        <v>552</v>
      </c>
      <c r="J24" s="19"/>
    </row>
    <row r="25" spans="1:13">
      <c r="A25" s="13"/>
      <c r="B25" s="15"/>
      <c r="C25" s="7"/>
      <c r="D25" s="8"/>
      <c r="E25" s="8"/>
      <c r="F25" s="8"/>
      <c r="G25" s="9"/>
      <c r="H25" s="11"/>
      <c r="I25" s="18"/>
      <c r="J25" s="19"/>
    </row>
    <row r="26" spans="1:13">
      <c r="A26" s="13"/>
      <c r="B26" s="15"/>
      <c r="C26" s="7"/>
      <c r="D26" s="8"/>
      <c r="E26" s="8"/>
      <c r="F26" s="8"/>
      <c r="G26" s="9"/>
      <c r="H26" s="11"/>
      <c r="I26" s="18"/>
      <c r="J26" s="19"/>
    </row>
    <row r="27" spans="1:13">
      <c r="A27" s="13">
        <v>27</v>
      </c>
      <c r="B27" s="197" t="s">
        <v>65</v>
      </c>
      <c r="C27" s="198"/>
      <c r="D27" s="198"/>
      <c r="E27" s="198"/>
      <c r="F27" s="198"/>
      <c r="G27" s="194"/>
      <c r="H27" s="5"/>
      <c r="I27" s="5" t="s">
        <v>11</v>
      </c>
      <c r="J27" s="5"/>
    </row>
    <row r="28" spans="1:13">
      <c r="A28" s="13"/>
      <c r="B28" s="15" t="s">
        <v>163</v>
      </c>
      <c r="C28" s="7">
        <v>1</v>
      </c>
      <c r="D28" s="8">
        <f>9.01+6.93+8.47</f>
        <v>24.41</v>
      </c>
      <c r="E28" s="8"/>
      <c r="F28" s="8"/>
      <c r="G28" s="9">
        <f>PRODUCT(C28:F28)</f>
        <v>24.41</v>
      </c>
      <c r="H28" s="11">
        <f>SUM(G28)</f>
        <v>24.41</v>
      </c>
      <c r="I28" s="18"/>
      <c r="J28" s="18"/>
    </row>
    <row r="29" spans="1:13">
      <c r="A29" s="13"/>
      <c r="B29" s="15"/>
      <c r="C29" s="7"/>
      <c r="D29" s="8"/>
      <c r="E29" s="8"/>
      <c r="F29" s="8"/>
      <c r="G29" s="9"/>
      <c r="H29" s="11"/>
      <c r="I29" s="18"/>
      <c r="J29" s="18"/>
    </row>
    <row r="30" spans="1:13">
      <c r="A30" s="13"/>
      <c r="B30" s="15"/>
      <c r="C30" s="7"/>
      <c r="D30" s="8"/>
      <c r="E30" s="8"/>
      <c r="F30" s="8"/>
      <c r="G30" s="9"/>
      <c r="H30" s="11"/>
      <c r="I30" s="18"/>
      <c r="J30" s="18"/>
    </row>
    <row r="31" spans="1:13">
      <c r="A31" s="13"/>
      <c r="B31" s="15" t="s">
        <v>555</v>
      </c>
      <c r="C31" s="7">
        <v>1</v>
      </c>
      <c r="D31" s="8">
        <f>8.24+0.6+1.5+0.6</f>
        <v>10.94</v>
      </c>
      <c r="E31" s="8"/>
      <c r="F31" s="8"/>
      <c r="G31" s="9">
        <f>PRODUCT(C31:F31)</f>
        <v>10.94</v>
      </c>
      <c r="H31" s="11">
        <f>SUM(G31:G32)</f>
        <v>15.09</v>
      </c>
      <c r="I31" s="18"/>
      <c r="J31" s="18"/>
    </row>
    <row r="32" spans="1:13">
      <c r="A32" s="13"/>
      <c r="B32" s="15"/>
      <c r="C32" s="7">
        <v>1</v>
      </c>
      <c r="D32" s="8">
        <f>2.65+1.5</f>
        <v>4.1500000000000004</v>
      </c>
      <c r="E32" s="8"/>
      <c r="F32" s="8"/>
      <c r="G32" s="9">
        <f>PRODUCT(C32:F32)</f>
        <v>4.1500000000000004</v>
      </c>
      <c r="H32" s="11"/>
      <c r="I32" s="18"/>
      <c r="J32" s="18"/>
    </row>
    <row r="33" spans="1:10">
      <c r="A33" s="13"/>
      <c r="B33" s="15"/>
      <c r="C33" s="7"/>
      <c r="D33" s="8"/>
      <c r="E33" s="8"/>
      <c r="F33" s="8"/>
      <c r="G33" s="9"/>
      <c r="H33" s="11"/>
      <c r="I33" s="18"/>
      <c r="J33" s="18"/>
    </row>
    <row r="34" spans="1:10">
      <c r="A34" s="13"/>
      <c r="B34" s="15"/>
      <c r="C34" s="7"/>
      <c r="D34" s="8"/>
      <c r="E34" s="8"/>
      <c r="F34" s="8"/>
      <c r="G34" s="9"/>
      <c r="H34" s="11"/>
      <c r="I34" s="18"/>
      <c r="J34" s="18"/>
    </row>
    <row r="35" spans="1:10">
      <c r="A35" s="13"/>
      <c r="B35" s="15" t="s">
        <v>558</v>
      </c>
      <c r="C35" s="7">
        <v>1</v>
      </c>
      <c r="D35" s="8">
        <f>0.5+0.25+0.5</f>
        <v>1.25</v>
      </c>
      <c r="E35" s="8"/>
      <c r="F35" s="8"/>
      <c r="G35" s="9">
        <f>PRODUCT(C35:F35)</f>
        <v>1.25</v>
      </c>
      <c r="H35" s="11">
        <f>SUM(G35:G38)</f>
        <v>8.23</v>
      </c>
      <c r="I35" s="18"/>
      <c r="J35" s="18"/>
    </row>
    <row r="36" spans="1:10">
      <c r="A36" s="13"/>
      <c r="B36" s="15"/>
      <c r="C36" s="7">
        <v>1</v>
      </c>
      <c r="D36" s="8">
        <f>1.28+0.5+0.5</f>
        <v>2.2800000000000002</v>
      </c>
      <c r="E36" s="8"/>
      <c r="F36" s="8"/>
      <c r="G36" s="9">
        <f>PRODUCT(C36:F36)</f>
        <v>2.2800000000000002</v>
      </c>
      <c r="H36" s="11"/>
      <c r="I36" s="18"/>
      <c r="J36" s="18"/>
    </row>
    <row r="37" spans="1:10">
      <c r="A37" s="13"/>
      <c r="B37" s="15"/>
      <c r="C37" s="7">
        <v>1</v>
      </c>
      <c r="D37" s="8">
        <f>1.5+0.7+0.5</f>
        <v>2.7</v>
      </c>
      <c r="E37" s="8"/>
      <c r="F37" s="8"/>
      <c r="G37" s="9">
        <f t="shared" ref="G37:G38" si="0">PRODUCT(C37:F37)</f>
        <v>2.7</v>
      </c>
      <c r="H37" s="11"/>
      <c r="I37" s="18"/>
      <c r="J37" s="18"/>
    </row>
    <row r="38" spans="1:10">
      <c r="A38" s="13"/>
      <c r="B38" s="15" t="s">
        <v>556</v>
      </c>
      <c r="C38" s="7">
        <v>4</v>
      </c>
      <c r="D38" s="8">
        <v>0.5</v>
      </c>
      <c r="E38" s="8"/>
      <c r="F38" s="8"/>
      <c r="G38" s="9">
        <f t="shared" si="0"/>
        <v>2</v>
      </c>
      <c r="H38" s="11"/>
      <c r="I38" s="18"/>
      <c r="J38" s="18"/>
    </row>
    <row r="39" spans="1:10">
      <c r="A39" s="13"/>
      <c r="B39" s="15"/>
      <c r="C39" s="7"/>
      <c r="D39" s="8"/>
      <c r="E39" s="8"/>
      <c r="F39" s="8"/>
      <c r="G39" s="9"/>
      <c r="H39" s="11"/>
      <c r="I39" s="18"/>
      <c r="J39" s="18"/>
    </row>
    <row r="40" spans="1:10">
      <c r="A40" s="13"/>
      <c r="B40" s="15"/>
      <c r="C40" s="7"/>
      <c r="D40" s="8"/>
      <c r="E40" s="8"/>
      <c r="F40" s="8"/>
      <c r="G40" s="9"/>
      <c r="H40" s="11"/>
      <c r="I40" s="18"/>
      <c r="J40" s="18"/>
    </row>
    <row r="41" spans="1:10">
      <c r="A41" s="13"/>
      <c r="B41" s="15" t="s">
        <v>557</v>
      </c>
      <c r="C41" s="7">
        <v>1</v>
      </c>
      <c r="D41" s="8">
        <f>0.43+0.5+0.5</f>
        <v>1.43</v>
      </c>
      <c r="E41" s="8"/>
      <c r="F41" s="8"/>
      <c r="G41" s="9">
        <f>PRODUCT(C41:F41)</f>
        <v>1.43</v>
      </c>
      <c r="H41" s="11">
        <f>SUM(G41:G42)</f>
        <v>4.68</v>
      </c>
      <c r="I41" s="18"/>
      <c r="J41" s="18"/>
    </row>
    <row r="42" spans="1:10">
      <c r="A42" s="13"/>
      <c r="B42" s="15"/>
      <c r="C42" s="7">
        <v>1</v>
      </c>
      <c r="D42" s="8">
        <f>1.25+0.5+1.5</f>
        <v>3.25</v>
      </c>
      <c r="E42" s="8"/>
      <c r="F42" s="8"/>
      <c r="G42" s="9">
        <f>PRODUCT(C42:F42)</f>
        <v>3.25</v>
      </c>
      <c r="H42" s="11"/>
      <c r="I42" s="18"/>
      <c r="J42" s="18"/>
    </row>
    <row r="43" spans="1:10">
      <c r="A43" s="13"/>
      <c r="B43" s="15"/>
      <c r="C43" s="7"/>
      <c r="D43" s="8"/>
      <c r="E43" s="8"/>
      <c r="F43" s="8"/>
      <c r="G43" s="9"/>
      <c r="H43" s="11"/>
      <c r="I43" s="18"/>
      <c r="J43" s="18"/>
    </row>
    <row r="44" spans="1:10">
      <c r="A44" s="13"/>
      <c r="B44" s="15"/>
      <c r="C44" s="7"/>
      <c r="D44" s="8"/>
      <c r="E44" s="8"/>
      <c r="F44" s="8"/>
      <c r="G44" s="9"/>
      <c r="H44" s="11"/>
      <c r="I44" s="18"/>
      <c r="J44" s="18"/>
    </row>
    <row r="45" spans="1:10">
      <c r="A45" s="13"/>
      <c r="B45" s="15" t="s">
        <v>164</v>
      </c>
      <c r="C45" s="7">
        <v>1</v>
      </c>
      <c r="D45" s="8">
        <f>+D31+D32+D35+D36+D37+D41+D42</f>
        <v>26</v>
      </c>
      <c r="E45" s="8"/>
      <c r="F45" s="8"/>
      <c r="G45" s="9">
        <f>PRODUCT(C45:F45)</f>
        <v>26</v>
      </c>
      <c r="H45" s="11">
        <f>SUM(G45:G47)</f>
        <v>26</v>
      </c>
      <c r="I45" s="18"/>
      <c r="J45" s="18"/>
    </row>
    <row r="46" spans="1:10">
      <c r="A46" s="13"/>
      <c r="B46" s="15"/>
      <c r="C46" s="7"/>
      <c r="D46" s="8"/>
      <c r="E46" s="8"/>
      <c r="F46" s="8"/>
      <c r="G46" s="9"/>
      <c r="H46" s="11"/>
      <c r="I46" s="18"/>
      <c r="J46" s="18"/>
    </row>
    <row r="47" spans="1:10">
      <c r="A47" s="13"/>
      <c r="B47" s="15"/>
      <c r="C47" s="7"/>
      <c r="D47" s="8"/>
      <c r="E47" s="8"/>
      <c r="F47" s="8"/>
      <c r="G47" s="9"/>
      <c r="H47" s="11"/>
      <c r="I47" s="18"/>
      <c r="J47" s="18"/>
    </row>
    <row r="48" spans="1:10">
      <c r="A48" s="13"/>
      <c r="B48" s="15"/>
      <c r="C48" s="7"/>
      <c r="D48" s="8"/>
      <c r="E48" s="8"/>
      <c r="F48" s="8"/>
      <c r="G48" s="9"/>
      <c r="H48" s="11"/>
      <c r="I48" s="18"/>
      <c r="J48" s="18"/>
    </row>
    <row r="49" spans="1:10">
      <c r="A49" s="13"/>
      <c r="B49" s="15" t="s">
        <v>165</v>
      </c>
      <c r="C49" s="7">
        <v>3</v>
      </c>
      <c r="D49" s="8"/>
      <c r="E49" s="8"/>
      <c r="F49" s="8"/>
      <c r="G49" s="9">
        <f>PRODUCT(C49:F49)</f>
        <v>3</v>
      </c>
      <c r="H49" s="11"/>
      <c r="I49" s="18" t="s">
        <v>30</v>
      </c>
      <c r="J49" s="18"/>
    </row>
    <row r="50" spans="1:10">
      <c r="A50" s="13"/>
      <c r="B50" s="15"/>
      <c r="C50" s="7"/>
      <c r="D50" s="8"/>
      <c r="E50" s="8"/>
      <c r="F50" s="8"/>
      <c r="G50" s="9"/>
      <c r="H50" s="11"/>
      <c r="I50" s="18"/>
      <c r="J50" s="18"/>
    </row>
    <row r="51" spans="1:10">
      <c r="A51" s="13"/>
      <c r="B51" s="15"/>
      <c r="C51" s="7"/>
      <c r="D51" s="8"/>
      <c r="E51" s="8"/>
      <c r="F51" s="8"/>
      <c r="G51" s="9"/>
      <c r="H51" s="11"/>
      <c r="I51" s="18"/>
      <c r="J51" s="18"/>
    </row>
    <row r="52" spans="1:10">
      <c r="A52" s="13">
        <v>27</v>
      </c>
      <c r="B52" s="197" t="s">
        <v>166</v>
      </c>
      <c r="C52" s="198"/>
      <c r="D52" s="198"/>
      <c r="E52" s="198"/>
      <c r="F52" s="198"/>
      <c r="G52" s="194"/>
      <c r="H52" s="5"/>
      <c r="I52" s="5" t="s">
        <v>11</v>
      </c>
      <c r="J52" s="5"/>
    </row>
    <row r="53" spans="1:10">
      <c r="A53" s="13"/>
      <c r="B53" s="15"/>
      <c r="C53" s="7"/>
      <c r="D53" s="8"/>
      <c r="E53" s="8"/>
      <c r="F53" s="8"/>
      <c r="G53" s="9"/>
      <c r="H53" s="11"/>
      <c r="I53" s="18"/>
      <c r="J53" s="18"/>
    </row>
    <row r="54" spans="1:10">
      <c r="A54" s="13"/>
      <c r="B54" s="15" t="s">
        <v>559</v>
      </c>
      <c r="C54" s="7">
        <v>3</v>
      </c>
      <c r="D54" s="8">
        <f>+D90*1.05</f>
        <v>4.3575000000000008</v>
      </c>
      <c r="E54" s="8"/>
      <c r="F54" s="8"/>
      <c r="G54" s="9">
        <f>PRODUCT(C54:F54)</f>
        <v>13.072500000000002</v>
      </c>
      <c r="H54" s="11">
        <f>SUM(G54:G85)</f>
        <v>491.47559999999999</v>
      </c>
      <c r="I54" s="18"/>
      <c r="J54" s="15"/>
    </row>
    <row r="55" spans="1:10">
      <c r="A55" s="13"/>
      <c r="B55" s="15"/>
      <c r="C55" s="7">
        <v>4</v>
      </c>
      <c r="D55" s="8">
        <f t="shared" ref="D55:D85" si="1">+D91*1.05</f>
        <v>5.7015000000000002</v>
      </c>
      <c r="E55" s="8"/>
      <c r="F55" s="8"/>
      <c r="G55" s="9">
        <f t="shared" ref="G55:G85" si="2">PRODUCT(C55:F55)</f>
        <v>22.806000000000001</v>
      </c>
      <c r="H55" s="11"/>
      <c r="I55" s="18"/>
      <c r="J55" s="15"/>
    </row>
    <row r="56" spans="1:10">
      <c r="A56" s="13"/>
      <c r="B56" s="15"/>
      <c r="C56" s="7">
        <v>3</v>
      </c>
      <c r="D56" s="8">
        <f t="shared" si="1"/>
        <v>4.4099999999999993</v>
      </c>
      <c r="E56" s="8"/>
      <c r="F56" s="8"/>
      <c r="G56" s="9">
        <f t="shared" si="2"/>
        <v>13.229999999999997</v>
      </c>
      <c r="H56" s="11"/>
      <c r="I56" s="18"/>
      <c r="J56" s="15"/>
    </row>
    <row r="57" spans="1:10">
      <c r="A57" s="13"/>
      <c r="B57" s="15"/>
      <c r="C57" s="7">
        <v>4</v>
      </c>
      <c r="D57" s="8">
        <f t="shared" si="1"/>
        <v>8.1375000000000011</v>
      </c>
      <c r="E57" s="8"/>
      <c r="F57" s="8"/>
      <c r="G57" s="9">
        <f t="shared" si="2"/>
        <v>32.550000000000004</v>
      </c>
      <c r="H57" s="11"/>
      <c r="I57" s="18"/>
      <c r="J57" s="15"/>
    </row>
    <row r="58" spans="1:10">
      <c r="A58" s="13"/>
      <c r="B58" s="15"/>
      <c r="C58" s="7">
        <v>3</v>
      </c>
      <c r="D58" s="8">
        <f t="shared" si="1"/>
        <v>4.4940000000000007</v>
      </c>
      <c r="E58" s="8"/>
      <c r="F58" s="8"/>
      <c r="G58" s="9">
        <f t="shared" si="2"/>
        <v>13.482000000000003</v>
      </c>
      <c r="H58" s="11"/>
      <c r="I58" s="18" t="s">
        <v>560</v>
      </c>
      <c r="J58" s="15"/>
    </row>
    <row r="59" spans="1:10">
      <c r="A59" s="13"/>
      <c r="B59" s="15"/>
      <c r="C59" s="7">
        <v>3</v>
      </c>
      <c r="D59" s="8">
        <f t="shared" si="1"/>
        <v>10.8675</v>
      </c>
      <c r="E59" s="8"/>
      <c r="F59" s="8"/>
      <c r="G59" s="9">
        <f t="shared" si="2"/>
        <v>32.602499999999999</v>
      </c>
      <c r="H59" s="11"/>
      <c r="I59" s="18" t="s">
        <v>561</v>
      </c>
      <c r="J59" s="15"/>
    </row>
    <row r="60" spans="1:10">
      <c r="A60" s="13"/>
      <c r="B60" s="15"/>
      <c r="C60" s="7">
        <v>3</v>
      </c>
      <c r="D60" s="8">
        <f t="shared" si="1"/>
        <v>11.76</v>
      </c>
      <c r="E60" s="8"/>
      <c r="F60" s="8"/>
      <c r="G60" s="9">
        <f t="shared" si="2"/>
        <v>35.28</v>
      </c>
      <c r="H60" s="11"/>
      <c r="I60" s="18"/>
      <c r="J60" s="18"/>
    </row>
    <row r="61" spans="1:10">
      <c r="A61" s="13"/>
      <c r="B61" s="15"/>
      <c r="C61" s="7">
        <v>3</v>
      </c>
      <c r="D61" s="8">
        <f t="shared" si="1"/>
        <v>3.024</v>
      </c>
      <c r="E61" s="8"/>
      <c r="F61" s="8"/>
      <c r="G61" s="9">
        <f t="shared" si="2"/>
        <v>9.0719999999999992</v>
      </c>
      <c r="H61" s="11"/>
      <c r="I61" s="18"/>
      <c r="J61" s="18"/>
    </row>
    <row r="62" spans="1:10">
      <c r="A62" s="13"/>
      <c r="B62" s="15"/>
      <c r="C62" s="7">
        <v>5</v>
      </c>
      <c r="D62" s="8">
        <f t="shared" si="1"/>
        <v>6.7830000000000004</v>
      </c>
      <c r="E62" s="8"/>
      <c r="F62" s="8"/>
      <c r="G62" s="9">
        <f t="shared" si="2"/>
        <v>33.914999999999999</v>
      </c>
      <c r="H62" s="11"/>
      <c r="I62" s="18"/>
      <c r="J62" s="18"/>
    </row>
    <row r="63" spans="1:10">
      <c r="A63" s="13"/>
      <c r="B63" s="15"/>
      <c r="C63" s="7">
        <v>3</v>
      </c>
      <c r="D63" s="8">
        <f t="shared" si="1"/>
        <v>4.431</v>
      </c>
      <c r="E63" s="8"/>
      <c r="F63" s="8"/>
      <c r="G63" s="9">
        <f t="shared" si="2"/>
        <v>13.292999999999999</v>
      </c>
      <c r="H63" s="11"/>
      <c r="I63" s="18"/>
      <c r="J63" s="18"/>
    </row>
    <row r="64" spans="1:10">
      <c r="A64" s="13"/>
      <c r="B64" s="15"/>
      <c r="C64" s="7">
        <v>3</v>
      </c>
      <c r="D64" s="8">
        <f t="shared" si="1"/>
        <v>3.0030000000000006</v>
      </c>
      <c r="E64" s="8"/>
      <c r="F64" s="8"/>
      <c r="G64" s="9">
        <f t="shared" si="2"/>
        <v>9.0090000000000021</v>
      </c>
      <c r="H64" s="11"/>
      <c r="I64" s="18" t="s">
        <v>560</v>
      </c>
      <c r="J64" s="18"/>
    </row>
    <row r="65" spans="1:10">
      <c r="A65" s="13"/>
      <c r="B65" s="15"/>
      <c r="C65" s="7">
        <v>3</v>
      </c>
      <c r="D65" s="8">
        <f t="shared" si="1"/>
        <v>18.217500000000001</v>
      </c>
      <c r="E65" s="8"/>
      <c r="F65" s="8"/>
      <c r="G65" s="9">
        <f t="shared" si="2"/>
        <v>54.652500000000003</v>
      </c>
      <c r="H65" s="11"/>
      <c r="I65" s="18"/>
      <c r="J65" s="18"/>
    </row>
    <row r="66" spans="1:10">
      <c r="A66" s="13"/>
      <c r="B66" s="15"/>
      <c r="C66" s="7">
        <v>2</v>
      </c>
      <c r="D66" s="8">
        <f t="shared" si="1"/>
        <v>4.3155000000000001</v>
      </c>
      <c r="E66" s="8"/>
      <c r="F66" s="8"/>
      <c r="G66" s="9">
        <f t="shared" si="2"/>
        <v>8.6310000000000002</v>
      </c>
      <c r="H66" s="11"/>
      <c r="I66" s="18" t="s">
        <v>560</v>
      </c>
      <c r="J66" s="18"/>
    </row>
    <row r="67" spans="1:10">
      <c r="A67" s="13"/>
      <c r="B67" s="15"/>
      <c r="C67" s="7">
        <v>2</v>
      </c>
      <c r="D67" s="8">
        <f t="shared" si="1"/>
        <v>4.3049999999999997</v>
      </c>
      <c r="E67" s="8"/>
      <c r="F67" s="8"/>
      <c r="G67" s="9">
        <f t="shared" si="2"/>
        <v>8.61</v>
      </c>
      <c r="H67" s="11"/>
      <c r="I67" s="18" t="s">
        <v>560</v>
      </c>
      <c r="J67" s="18"/>
    </row>
    <row r="68" spans="1:10">
      <c r="A68" s="13"/>
      <c r="B68" s="15"/>
      <c r="C68" s="7">
        <v>2</v>
      </c>
      <c r="D68" s="8">
        <f t="shared" si="1"/>
        <v>4.1768999999999998</v>
      </c>
      <c r="E68" s="8"/>
      <c r="F68" s="8"/>
      <c r="G68" s="9">
        <f t="shared" si="2"/>
        <v>8.3537999999999997</v>
      </c>
      <c r="H68" s="11"/>
      <c r="I68" s="18" t="s">
        <v>560</v>
      </c>
      <c r="J68" s="18"/>
    </row>
    <row r="69" spans="1:10">
      <c r="A69" s="13"/>
      <c r="B69" s="15"/>
      <c r="C69" s="7">
        <v>2</v>
      </c>
      <c r="D69" s="8">
        <f t="shared" si="1"/>
        <v>4.1768999999999998</v>
      </c>
      <c r="E69" s="8"/>
      <c r="F69" s="8"/>
      <c r="G69" s="9">
        <f t="shared" si="2"/>
        <v>8.3537999999999997</v>
      </c>
      <c r="H69" s="11"/>
      <c r="I69" s="18" t="s">
        <v>560</v>
      </c>
      <c r="J69" s="18"/>
    </row>
    <row r="70" spans="1:10">
      <c r="A70" s="13"/>
      <c r="B70" s="15"/>
      <c r="C70" s="7">
        <v>2</v>
      </c>
      <c r="D70" s="8">
        <f t="shared" si="1"/>
        <v>4.1475</v>
      </c>
      <c r="E70" s="8"/>
      <c r="F70" s="8"/>
      <c r="G70" s="9">
        <f t="shared" si="2"/>
        <v>8.2949999999999999</v>
      </c>
      <c r="H70" s="11"/>
      <c r="I70" s="18" t="s">
        <v>560</v>
      </c>
      <c r="J70" s="18"/>
    </row>
    <row r="71" spans="1:10">
      <c r="A71" s="13"/>
      <c r="B71" s="15"/>
      <c r="C71" s="7">
        <v>3</v>
      </c>
      <c r="D71" s="8">
        <f t="shared" si="1"/>
        <v>7.644000000000001</v>
      </c>
      <c r="E71" s="8"/>
      <c r="F71" s="8"/>
      <c r="G71" s="9">
        <f t="shared" si="2"/>
        <v>22.932000000000002</v>
      </c>
      <c r="H71" s="11"/>
      <c r="I71" s="18"/>
      <c r="J71" s="18"/>
    </row>
    <row r="72" spans="1:10">
      <c r="A72" s="13"/>
      <c r="B72" s="15"/>
      <c r="C72" s="7">
        <v>2</v>
      </c>
      <c r="D72" s="8">
        <f t="shared" si="1"/>
        <v>3.7065000000000006</v>
      </c>
      <c r="E72" s="8"/>
      <c r="F72" s="8"/>
      <c r="G72" s="9">
        <f t="shared" si="2"/>
        <v>7.4130000000000011</v>
      </c>
      <c r="H72" s="11"/>
      <c r="I72" s="18" t="s">
        <v>562</v>
      </c>
      <c r="J72" s="18"/>
    </row>
    <row r="73" spans="1:10">
      <c r="A73" s="13"/>
      <c r="B73" s="15"/>
      <c r="C73" s="7">
        <v>4</v>
      </c>
      <c r="D73" s="8">
        <f t="shared" si="1"/>
        <v>1.5225</v>
      </c>
      <c r="E73" s="8"/>
      <c r="F73" s="8"/>
      <c r="G73" s="9">
        <f t="shared" si="2"/>
        <v>6.09</v>
      </c>
      <c r="H73" s="11"/>
      <c r="I73" s="18"/>
      <c r="J73" s="18"/>
    </row>
    <row r="74" spans="1:10">
      <c r="A74" s="13"/>
      <c r="B74" s="15"/>
      <c r="C74" s="7">
        <v>3</v>
      </c>
      <c r="D74" s="8">
        <f t="shared" si="1"/>
        <v>1.5329999999999999</v>
      </c>
      <c r="E74" s="8"/>
      <c r="F74" s="8"/>
      <c r="G74" s="9">
        <f t="shared" si="2"/>
        <v>4.5990000000000002</v>
      </c>
      <c r="H74" s="11"/>
      <c r="I74" s="18"/>
      <c r="J74" s="18"/>
    </row>
    <row r="75" spans="1:10">
      <c r="A75" s="13"/>
      <c r="B75" s="15"/>
      <c r="C75" s="7">
        <v>2</v>
      </c>
      <c r="D75" s="8">
        <f t="shared" si="1"/>
        <v>3.3600000000000003</v>
      </c>
      <c r="E75" s="8"/>
      <c r="F75" s="8"/>
      <c r="G75" s="9">
        <f t="shared" si="2"/>
        <v>6.7200000000000006</v>
      </c>
      <c r="H75" s="11"/>
      <c r="I75" s="18" t="s">
        <v>562</v>
      </c>
      <c r="J75" s="18"/>
    </row>
    <row r="76" spans="1:10">
      <c r="A76" s="13"/>
      <c r="B76" s="15"/>
      <c r="C76" s="7">
        <v>3</v>
      </c>
      <c r="D76" s="8">
        <f t="shared" si="1"/>
        <v>2.6670000000000003</v>
      </c>
      <c r="E76" s="8"/>
      <c r="F76" s="8"/>
      <c r="G76" s="9">
        <f t="shared" si="2"/>
        <v>8.0010000000000012</v>
      </c>
      <c r="H76" s="11"/>
      <c r="I76" s="18"/>
      <c r="J76" s="18"/>
    </row>
    <row r="77" spans="1:10">
      <c r="A77" s="13"/>
      <c r="B77" s="15"/>
      <c r="C77" s="7">
        <v>2</v>
      </c>
      <c r="D77" s="8">
        <f t="shared" si="1"/>
        <v>4.7985000000000007</v>
      </c>
      <c r="E77" s="8"/>
      <c r="F77" s="8"/>
      <c r="G77" s="9">
        <f t="shared" si="2"/>
        <v>9.5970000000000013</v>
      </c>
      <c r="H77" s="11"/>
      <c r="I77" s="18"/>
      <c r="J77" s="18"/>
    </row>
    <row r="78" spans="1:10">
      <c r="A78" s="13"/>
      <c r="B78" s="15"/>
      <c r="C78" s="7">
        <v>3</v>
      </c>
      <c r="D78" s="8">
        <f t="shared" si="1"/>
        <v>10.384500000000001</v>
      </c>
      <c r="E78" s="8"/>
      <c r="F78" s="8"/>
      <c r="G78" s="9">
        <f t="shared" si="2"/>
        <v>31.153500000000001</v>
      </c>
      <c r="H78" s="11"/>
      <c r="I78" s="18"/>
      <c r="J78" s="18"/>
    </row>
    <row r="79" spans="1:10">
      <c r="A79" s="13"/>
      <c r="B79" s="15"/>
      <c r="C79" s="7">
        <v>3</v>
      </c>
      <c r="D79" s="8">
        <f t="shared" si="1"/>
        <v>1.1130000000000002</v>
      </c>
      <c r="E79" s="8"/>
      <c r="F79" s="8"/>
      <c r="G79" s="9">
        <f t="shared" si="2"/>
        <v>3.3390000000000004</v>
      </c>
      <c r="H79" s="11"/>
      <c r="I79" s="18"/>
      <c r="J79" s="18"/>
    </row>
    <row r="80" spans="1:10">
      <c r="A80" s="13"/>
      <c r="B80" s="15"/>
      <c r="C80" s="7">
        <v>3</v>
      </c>
      <c r="D80" s="8">
        <f t="shared" si="1"/>
        <v>1.9005000000000001</v>
      </c>
      <c r="E80" s="8"/>
      <c r="F80" s="8"/>
      <c r="G80" s="9">
        <f t="shared" si="2"/>
        <v>5.7015000000000002</v>
      </c>
      <c r="H80" s="11"/>
      <c r="I80" s="18"/>
      <c r="J80" s="18"/>
    </row>
    <row r="81" spans="1:10">
      <c r="A81" s="13"/>
      <c r="B81" s="15"/>
      <c r="C81" s="7">
        <v>3</v>
      </c>
      <c r="D81" s="8">
        <f t="shared" si="1"/>
        <v>7.3815000000000008</v>
      </c>
      <c r="E81" s="8"/>
      <c r="F81" s="8"/>
      <c r="G81" s="9">
        <f t="shared" si="2"/>
        <v>22.144500000000001</v>
      </c>
      <c r="H81" s="11"/>
      <c r="I81" s="18"/>
      <c r="J81" s="18"/>
    </row>
    <row r="82" spans="1:10">
      <c r="A82" s="13"/>
      <c r="B82" s="15"/>
      <c r="C82" s="7">
        <v>4</v>
      </c>
      <c r="D82" s="8">
        <f t="shared" si="1"/>
        <v>1.4279999999999999</v>
      </c>
      <c r="E82" s="8"/>
      <c r="F82" s="8"/>
      <c r="G82" s="9">
        <f t="shared" si="2"/>
        <v>5.7119999999999997</v>
      </c>
      <c r="H82" s="11"/>
      <c r="I82" s="18"/>
      <c r="J82" s="18"/>
    </row>
    <row r="83" spans="1:10">
      <c r="A83" s="13"/>
      <c r="B83" s="15"/>
      <c r="C83" s="7">
        <v>2</v>
      </c>
      <c r="D83" s="8">
        <f t="shared" si="1"/>
        <v>1.4070000000000003</v>
      </c>
      <c r="E83" s="8"/>
      <c r="F83" s="8"/>
      <c r="G83" s="9">
        <f t="shared" si="2"/>
        <v>2.8140000000000005</v>
      </c>
      <c r="H83" s="11"/>
      <c r="I83" s="18" t="s">
        <v>562</v>
      </c>
      <c r="J83" s="18"/>
    </row>
    <row r="84" spans="1:10">
      <c r="A84" s="13"/>
      <c r="B84" s="15"/>
      <c r="C84" s="7">
        <v>3</v>
      </c>
      <c r="D84" s="8">
        <f t="shared" si="1"/>
        <v>2.4990000000000001</v>
      </c>
      <c r="E84" s="8"/>
      <c r="F84" s="8"/>
      <c r="G84" s="9">
        <f t="shared" si="2"/>
        <v>7.4969999999999999</v>
      </c>
      <c r="H84" s="11"/>
      <c r="I84" s="18"/>
      <c r="J84" s="18"/>
    </row>
    <row r="85" spans="1:10">
      <c r="A85" s="13"/>
      <c r="B85" s="15"/>
      <c r="C85" s="7">
        <v>4</v>
      </c>
      <c r="D85" s="8">
        <f t="shared" si="1"/>
        <v>5.6385000000000005</v>
      </c>
      <c r="E85" s="8"/>
      <c r="F85" s="8"/>
      <c r="G85" s="9">
        <f t="shared" si="2"/>
        <v>22.554000000000002</v>
      </c>
      <c r="H85" s="11"/>
      <c r="I85" s="18"/>
      <c r="J85" s="18"/>
    </row>
    <row r="86" spans="1:10">
      <c r="A86" s="13"/>
      <c r="B86" s="15"/>
      <c r="C86" s="7"/>
      <c r="D86" s="8"/>
      <c r="E86" s="8"/>
      <c r="F86" s="8"/>
      <c r="G86" s="9"/>
      <c r="H86" s="11"/>
      <c r="I86" s="18"/>
      <c r="J86" s="18"/>
    </row>
    <row r="87" spans="1:10">
      <c r="A87" s="13"/>
      <c r="B87" s="15"/>
      <c r="C87" s="7"/>
      <c r="D87" s="8"/>
      <c r="E87" s="8"/>
      <c r="F87" s="8"/>
      <c r="G87" s="9"/>
      <c r="H87" s="11"/>
      <c r="I87" s="18"/>
      <c r="J87" s="18"/>
    </row>
    <row r="88" spans="1:10">
      <c r="A88" s="13"/>
      <c r="B88" s="15"/>
      <c r="C88" s="7"/>
      <c r="D88" s="8"/>
      <c r="E88" s="8"/>
      <c r="F88" s="8"/>
      <c r="G88" s="9"/>
      <c r="H88" s="11"/>
      <c r="I88" s="18"/>
      <c r="J88" s="18"/>
    </row>
    <row r="89" spans="1:10">
      <c r="A89" s="13"/>
      <c r="B89" s="15"/>
      <c r="C89" s="7"/>
      <c r="D89" s="8"/>
      <c r="E89" s="8"/>
      <c r="F89" s="8"/>
      <c r="G89" s="9"/>
      <c r="H89" s="11"/>
      <c r="I89" s="18"/>
      <c r="J89" s="18"/>
    </row>
    <row r="90" spans="1:10">
      <c r="A90" s="13"/>
      <c r="B90" t="s">
        <v>167</v>
      </c>
      <c r="C90" s="7">
        <v>1</v>
      </c>
      <c r="D90" s="8">
        <f>1.85+2.3</f>
        <v>4.1500000000000004</v>
      </c>
      <c r="E90" s="8"/>
      <c r="F90" s="8"/>
      <c r="G90" s="9">
        <f>PRODUCT(C90:F90)</f>
        <v>4.1500000000000004</v>
      </c>
      <c r="H90" s="11">
        <f>SUM(G90:G121)</f>
        <v>155.51600000000002</v>
      </c>
      <c r="I90" s="18"/>
      <c r="J90" s="18"/>
    </row>
    <row r="91" spans="1:10">
      <c r="A91" s="13"/>
      <c r="B91" s="15"/>
      <c r="C91" s="7">
        <v>1</v>
      </c>
      <c r="D91" s="8">
        <v>5.43</v>
      </c>
      <c r="E91" s="8"/>
      <c r="F91" s="8"/>
      <c r="G91" s="9">
        <f>PRODUCT(C91:F91)</f>
        <v>5.43</v>
      </c>
      <c r="H91" s="11"/>
      <c r="I91" s="18"/>
      <c r="J91" s="18"/>
    </row>
    <row r="92" spans="1:10">
      <c r="A92" s="13"/>
      <c r="B92" s="15"/>
      <c r="C92" s="7">
        <v>1</v>
      </c>
      <c r="D92" s="8">
        <f>1.9+2.3</f>
        <v>4.1999999999999993</v>
      </c>
      <c r="E92" s="8"/>
      <c r="F92" s="8"/>
      <c r="G92" s="9">
        <f t="shared" ref="G92:G128" si="3">PRODUCT(C92:F92)</f>
        <v>4.1999999999999993</v>
      </c>
      <c r="H92" s="11"/>
      <c r="I92" s="18"/>
      <c r="J92" s="18"/>
    </row>
    <row r="93" spans="1:10">
      <c r="A93" s="13"/>
      <c r="B93" s="15"/>
      <c r="C93" s="7">
        <v>1</v>
      </c>
      <c r="D93" s="8">
        <v>7.75</v>
      </c>
      <c r="E93" s="8"/>
      <c r="F93" s="8"/>
      <c r="G93" s="9">
        <f t="shared" si="3"/>
        <v>7.75</v>
      </c>
      <c r="H93" s="11"/>
      <c r="I93" s="18"/>
      <c r="J93" s="18"/>
    </row>
    <row r="94" spans="1:10">
      <c r="A94" s="13"/>
      <c r="B94" s="15"/>
      <c r="C94" s="7">
        <v>1</v>
      </c>
      <c r="D94" s="8">
        <f>1.68+2.6</f>
        <v>4.28</v>
      </c>
      <c r="E94" s="8"/>
      <c r="F94" s="8"/>
      <c r="G94" s="9">
        <f t="shared" si="3"/>
        <v>4.28</v>
      </c>
      <c r="H94" s="11"/>
      <c r="I94" s="18"/>
      <c r="J94" s="18"/>
    </row>
    <row r="95" spans="1:10">
      <c r="A95" s="13"/>
      <c r="B95" s="15"/>
      <c r="C95" s="7">
        <v>1</v>
      </c>
      <c r="D95" s="8">
        <f>8.25+2.1</f>
        <v>10.35</v>
      </c>
      <c r="E95" s="8"/>
      <c r="F95" s="8"/>
      <c r="G95" s="9">
        <f t="shared" si="3"/>
        <v>10.35</v>
      </c>
      <c r="H95" s="11"/>
      <c r="I95" s="18"/>
      <c r="J95" s="18"/>
    </row>
    <row r="96" spans="1:10">
      <c r="A96" s="13"/>
      <c r="B96" s="15"/>
      <c r="C96" s="7">
        <v>1</v>
      </c>
      <c r="D96" s="8">
        <f>6.8+2.2+2.2</f>
        <v>11.2</v>
      </c>
      <c r="E96" s="8"/>
      <c r="F96" s="8"/>
      <c r="G96" s="9">
        <f t="shared" si="3"/>
        <v>11.2</v>
      </c>
      <c r="H96" s="11"/>
      <c r="I96" s="18"/>
      <c r="J96" s="18"/>
    </row>
    <row r="97" spans="1:10">
      <c r="A97" s="13"/>
      <c r="B97" s="15"/>
      <c r="C97" s="7">
        <v>1</v>
      </c>
      <c r="D97" s="8">
        <v>2.88</v>
      </c>
      <c r="E97" s="8"/>
      <c r="F97" s="8"/>
      <c r="G97" s="9">
        <f t="shared" si="3"/>
        <v>2.88</v>
      </c>
      <c r="H97" s="11"/>
      <c r="I97" s="18"/>
      <c r="J97" s="18"/>
    </row>
    <row r="98" spans="1:10">
      <c r="A98" s="13"/>
      <c r="B98" s="15"/>
      <c r="C98" s="7">
        <v>1</v>
      </c>
      <c r="D98" s="8">
        <v>6.46</v>
      </c>
      <c r="E98" s="8"/>
      <c r="F98" s="8"/>
      <c r="G98" s="9">
        <f t="shared" si="3"/>
        <v>6.46</v>
      </c>
      <c r="H98" s="11"/>
      <c r="I98" s="18"/>
      <c r="J98" s="18"/>
    </row>
    <row r="99" spans="1:10">
      <c r="A99" s="13"/>
      <c r="B99" s="15"/>
      <c r="C99" s="7">
        <v>1</v>
      </c>
      <c r="D99" s="8">
        <f>1.92+2.3</f>
        <v>4.22</v>
      </c>
      <c r="E99" s="8"/>
      <c r="F99" s="8"/>
      <c r="G99" s="9">
        <f t="shared" si="3"/>
        <v>4.22</v>
      </c>
      <c r="H99" s="11"/>
      <c r="I99" s="18"/>
      <c r="J99" s="18"/>
    </row>
    <row r="100" spans="1:10">
      <c r="A100" s="13"/>
      <c r="B100" s="15"/>
      <c r="C100" s="7">
        <v>1</v>
      </c>
      <c r="D100" s="8">
        <f>0.26+2.6</f>
        <v>2.8600000000000003</v>
      </c>
      <c r="E100" s="8"/>
      <c r="F100" s="8"/>
      <c r="G100" s="9">
        <f t="shared" si="3"/>
        <v>2.8600000000000003</v>
      </c>
      <c r="H100" s="11"/>
      <c r="I100" s="18"/>
      <c r="J100" s="18"/>
    </row>
    <row r="101" spans="1:10">
      <c r="A101" s="13"/>
      <c r="B101" s="15"/>
      <c r="C101" s="7">
        <v>1</v>
      </c>
      <c r="D101" s="8">
        <f>15.05+2.3</f>
        <v>17.350000000000001</v>
      </c>
      <c r="E101" s="8"/>
      <c r="F101" s="8"/>
      <c r="G101" s="9">
        <f t="shared" si="3"/>
        <v>17.350000000000001</v>
      </c>
      <c r="H101" s="11"/>
      <c r="I101" s="18"/>
      <c r="J101" s="18"/>
    </row>
    <row r="102" spans="1:10">
      <c r="A102" s="13"/>
      <c r="B102" s="15"/>
      <c r="C102" s="7">
        <v>1</v>
      </c>
      <c r="D102" s="8">
        <f>1.51+2.6</f>
        <v>4.1100000000000003</v>
      </c>
      <c r="E102" s="8"/>
      <c r="F102" s="8"/>
      <c r="G102" s="9">
        <f t="shared" si="3"/>
        <v>4.1100000000000003</v>
      </c>
      <c r="H102" s="11"/>
      <c r="I102" s="18"/>
      <c r="J102" s="18"/>
    </row>
    <row r="103" spans="1:10">
      <c r="A103" s="13"/>
      <c r="B103" s="15"/>
      <c r="C103" s="7">
        <v>1</v>
      </c>
      <c r="D103" s="8">
        <f>1.5+2.6</f>
        <v>4.0999999999999996</v>
      </c>
      <c r="E103" s="8"/>
      <c r="F103" s="8"/>
      <c r="G103" s="9">
        <f t="shared" si="3"/>
        <v>4.0999999999999996</v>
      </c>
      <c r="H103" s="11"/>
      <c r="I103" s="18"/>
      <c r="J103" s="18"/>
    </row>
    <row r="104" spans="1:10">
      <c r="A104" s="13"/>
      <c r="B104" s="15"/>
      <c r="C104" s="7">
        <v>1</v>
      </c>
      <c r="D104" s="8">
        <f>1.378+2.6</f>
        <v>3.9779999999999998</v>
      </c>
      <c r="E104" s="8"/>
      <c r="F104" s="8"/>
      <c r="G104" s="9">
        <f t="shared" si="3"/>
        <v>3.9779999999999998</v>
      </c>
      <c r="H104" s="11"/>
      <c r="I104" s="18"/>
      <c r="J104" s="18"/>
    </row>
    <row r="105" spans="1:10">
      <c r="A105" s="13"/>
      <c r="B105" s="15"/>
      <c r="C105" s="7">
        <v>1</v>
      </c>
      <c r="D105" s="8">
        <f>1.378+2.6</f>
        <v>3.9779999999999998</v>
      </c>
      <c r="E105" s="8"/>
      <c r="F105" s="8"/>
      <c r="G105" s="9">
        <f t="shared" si="3"/>
        <v>3.9779999999999998</v>
      </c>
      <c r="H105" s="11"/>
      <c r="I105" s="18"/>
      <c r="J105" s="18"/>
    </row>
    <row r="106" spans="1:10">
      <c r="A106" s="13"/>
      <c r="B106" s="15"/>
      <c r="C106" s="7">
        <v>1</v>
      </c>
      <c r="D106" s="8">
        <f>1.35+2.6</f>
        <v>3.95</v>
      </c>
      <c r="E106" s="8"/>
      <c r="F106" s="8"/>
      <c r="G106" s="9">
        <f t="shared" si="3"/>
        <v>3.95</v>
      </c>
      <c r="H106" s="11"/>
      <c r="I106" s="18"/>
      <c r="J106" s="18"/>
    </row>
    <row r="107" spans="1:10">
      <c r="A107" s="13"/>
      <c r="B107" s="15"/>
      <c r="C107" s="7">
        <v>1</v>
      </c>
      <c r="D107" s="8">
        <f>2.2+5.08</f>
        <v>7.28</v>
      </c>
      <c r="E107" s="8"/>
      <c r="F107" s="8"/>
      <c r="G107" s="9">
        <f t="shared" si="3"/>
        <v>7.28</v>
      </c>
      <c r="H107" s="11"/>
      <c r="I107" s="18"/>
      <c r="J107" s="18"/>
    </row>
    <row r="108" spans="1:10">
      <c r="A108" s="13"/>
      <c r="B108" s="15"/>
      <c r="C108" s="7">
        <v>1</v>
      </c>
      <c r="D108" s="8">
        <f>0.93+2.6</f>
        <v>3.5300000000000002</v>
      </c>
      <c r="E108" s="8"/>
      <c r="F108" s="8"/>
      <c r="G108" s="9">
        <f t="shared" si="3"/>
        <v>3.5300000000000002</v>
      </c>
      <c r="H108" s="11"/>
      <c r="I108" s="18"/>
      <c r="J108" s="18"/>
    </row>
    <row r="109" spans="1:10">
      <c r="A109" s="13"/>
      <c r="B109" s="15"/>
      <c r="C109" s="7">
        <v>1</v>
      </c>
      <c r="D109" s="8">
        <v>1.45</v>
      </c>
      <c r="E109" s="8"/>
      <c r="F109" s="8"/>
      <c r="G109" s="9">
        <f t="shared" si="3"/>
        <v>1.45</v>
      </c>
      <c r="H109" s="11"/>
      <c r="I109" s="18"/>
      <c r="J109" s="18"/>
    </row>
    <row r="110" spans="1:10">
      <c r="A110" s="13"/>
      <c r="B110" s="15"/>
      <c r="C110" s="7">
        <v>1</v>
      </c>
      <c r="D110" s="8">
        <v>1.46</v>
      </c>
      <c r="E110" s="8"/>
      <c r="F110" s="8"/>
      <c r="G110" s="9">
        <f t="shared" si="3"/>
        <v>1.46</v>
      </c>
      <c r="H110" s="11"/>
      <c r="I110" s="18"/>
      <c r="J110" s="18"/>
    </row>
    <row r="111" spans="1:10">
      <c r="A111" s="13"/>
      <c r="B111" s="15"/>
      <c r="C111" s="7">
        <v>1</v>
      </c>
      <c r="D111" s="8">
        <f>0.6+2.6</f>
        <v>3.2</v>
      </c>
      <c r="E111" s="8"/>
      <c r="F111" s="8"/>
      <c r="G111" s="9">
        <f t="shared" si="3"/>
        <v>3.2</v>
      </c>
      <c r="H111" s="11"/>
      <c r="I111" s="18"/>
      <c r="J111" s="18"/>
    </row>
    <row r="112" spans="1:10">
      <c r="A112" s="13"/>
      <c r="B112" s="15"/>
      <c r="C112" s="7">
        <v>1</v>
      </c>
      <c r="D112" s="8">
        <v>2.54</v>
      </c>
      <c r="E112" s="8"/>
      <c r="F112" s="8"/>
      <c r="G112" s="9">
        <f t="shared" si="3"/>
        <v>2.54</v>
      </c>
      <c r="H112" s="11"/>
      <c r="I112" s="18"/>
      <c r="J112" s="18"/>
    </row>
    <row r="113" spans="1:10">
      <c r="A113" s="13"/>
      <c r="B113" s="15"/>
      <c r="C113" s="7">
        <v>1</v>
      </c>
      <c r="D113" s="8">
        <f>1.97+2.6</f>
        <v>4.57</v>
      </c>
      <c r="E113" s="8"/>
      <c r="F113" s="8"/>
      <c r="G113" s="9">
        <f t="shared" si="3"/>
        <v>4.57</v>
      </c>
      <c r="H113" s="11"/>
      <c r="I113" s="18"/>
      <c r="J113" s="18"/>
    </row>
    <row r="114" spans="1:10">
      <c r="A114" s="13"/>
      <c r="B114" s="15"/>
      <c r="C114" s="7">
        <v>1</v>
      </c>
      <c r="D114" s="8">
        <f>7.59+2.3</f>
        <v>9.89</v>
      </c>
      <c r="E114" s="8"/>
      <c r="F114" s="8"/>
      <c r="G114" s="9">
        <f t="shared" si="3"/>
        <v>9.89</v>
      </c>
      <c r="H114" s="11"/>
      <c r="I114" s="18"/>
      <c r="J114" s="18"/>
    </row>
    <row r="115" spans="1:10">
      <c r="A115" s="13"/>
      <c r="B115" s="15"/>
      <c r="C115" s="7">
        <v>1</v>
      </c>
      <c r="D115" s="8">
        <v>1.06</v>
      </c>
      <c r="E115" s="8"/>
      <c r="F115" s="8"/>
      <c r="G115" s="9">
        <f t="shared" si="3"/>
        <v>1.06</v>
      </c>
      <c r="H115" s="11"/>
      <c r="I115" s="18"/>
      <c r="J115" s="18"/>
    </row>
    <row r="116" spans="1:10">
      <c r="A116" s="13"/>
      <c r="B116" s="15"/>
      <c r="C116" s="7">
        <v>1</v>
      </c>
      <c r="D116" s="8">
        <v>1.81</v>
      </c>
      <c r="E116" s="8"/>
      <c r="F116" s="8"/>
      <c r="G116" s="9">
        <f t="shared" si="3"/>
        <v>1.81</v>
      </c>
      <c r="H116" s="11"/>
      <c r="I116" s="18"/>
      <c r="J116" s="18"/>
    </row>
    <row r="117" spans="1:10">
      <c r="A117" s="13"/>
      <c r="B117" s="15"/>
      <c r="C117" s="7">
        <v>1</v>
      </c>
      <c r="D117" s="8">
        <f>1.8+3.43+1.8</f>
        <v>7.03</v>
      </c>
      <c r="E117" s="8"/>
      <c r="F117" s="8"/>
      <c r="G117" s="9">
        <f t="shared" si="3"/>
        <v>7.03</v>
      </c>
      <c r="H117" s="11"/>
      <c r="I117" s="18"/>
      <c r="J117" s="18"/>
    </row>
    <row r="118" spans="1:10">
      <c r="A118" s="13"/>
      <c r="B118" s="15"/>
      <c r="C118" s="7">
        <v>1</v>
      </c>
      <c r="D118" s="8">
        <f>0.86+0.5</f>
        <v>1.3599999999999999</v>
      </c>
      <c r="E118" s="8"/>
      <c r="F118" s="8"/>
      <c r="G118" s="9">
        <f t="shared" si="3"/>
        <v>1.3599999999999999</v>
      </c>
      <c r="H118" s="11"/>
      <c r="I118" s="18"/>
      <c r="J118" s="18"/>
    </row>
    <row r="119" spans="1:10">
      <c r="A119" s="13"/>
      <c r="B119" s="15"/>
      <c r="C119" s="7">
        <v>1</v>
      </c>
      <c r="D119" s="8">
        <v>1.34</v>
      </c>
      <c r="E119" s="8"/>
      <c r="F119" s="8"/>
      <c r="G119" s="9">
        <f t="shared" si="3"/>
        <v>1.34</v>
      </c>
      <c r="H119" s="11"/>
      <c r="I119" s="18"/>
      <c r="J119" s="18"/>
    </row>
    <row r="120" spans="1:10">
      <c r="A120" s="13"/>
      <c r="B120" s="15"/>
      <c r="C120" s="7">
        <v>1</v>
      </c>
      <c r="D120" s="8">
        <v>2.38</v>
      </c>
      <c r="E120" s="8"/>
      <c r="F120" s="8"/>
      <c r="G120" s="9">
        <f t="shared" si="3"/>
        <v>2.38</v>
      </c>
      <c r="H120" s="11"/>
      <c r="I120" s="18"/>
      <c r="J120" s="18"/>
    </row>
    <row r="121" spans="1:10">
      <c r="A121" s="13"/>
      <c r="B121" s="15"/>
      <c r="C121" s="7">
        <v>1</v>
      </c>
      <c r="D121" s="8">
        <v>5.37</v>
      </c>
      <c r="E121" s="8"/>
      <c r="F121" s="8"/>
      <c r="G121" s="9">
        <f t="shared" si="3"/>
        <v>5.37</v>
      </c>
      <c r="H121" s="11"/>
      <c r="I121" s="18"/>
      <c r="J121" s="18"/>
    </row>
    <row r="122" spans="1:10">
      <c r="A122" s="13"/>
      <c r="B122" s="15"/>
      <c r="C122" s="7"/>
      <c r="D122" s="8"/>
      <c r="E122" s="8"/>
      <c r="F122" s="8"/>
      <c r="G122" s="9"/>
      <c r="H122" s="11"/>
      <c r="I122" s="18"/>
      <c r="J122" s="18"/>
    </row>
    <row r="123" spans="1:10">
      <c r="A123" s="13"/>
      <c r="B123" s="15"/>
      <c r="C123" s="7"/>
      <c r="D123" s="8"/>
      <c r="E123" s="8"/>
      <c r="F123" s="8"/>
      <c r="G123" s="9"/>
      <c r="H123" s="11"/>
      <c r="I123" s="18"/>
      <c r="J123" s="18"/>
    </row>
    <row r="124" spans="1:10">
      <c r="A124" s="13"/>
      <c r="B124" s="15" t="s">
        <v>618</v>
      </c>
      <c r="C124" s="7">
        <v>1</v>
      </c>
      <c r="D124" s="8">
        <v>24</v>
      </c>
      <c r="E124" s="8"/>
      <c r="F124" s="8"/>
      <c r="G124" s="9">
        <f t="shared" si="3"/>
        <v>24</v>
      </c>
      <c r="H124" s="11">
        <f>+G124</f>
        <v>24</v>
      </c>
      <c r="I124" s="18"/>
      <c r="J124" s="18"/>
    </row>
    <row r="125" spans="1:10">
      <c r="A125" s="13"/>
      <c r="B125" s="15" t="s">
        <v>168</v>
      </c>
      <c r="C125" s="7">
        <v>1</v>
      </c>
      <c r="D125" s="8">
        <v>8</v>
      </c>
      <c r="E125" s="8"/>
      <c r="F125" s="8"/>
      <c r="G125" s="9">
        <f t="shared" si="3"/>
        <v>8</v>
      </c>
      <c r="H125" s="11">
        <f>+G125</f>
        <v>8</v>
      </c>
      <c r="I125" s="18"/>
      <c r="J125" s="18"/>
    </row>
    <row r="126" spans="1:10" ht="19.5" customHeight="1">
      <c r="A126" s="13"/>
      <c r="B126" s="15" t="s">
        <v>169</v>
      </c>
      <c r="C126" s="7">
        <v>1</v>
      </c>
      <c r="D126" s="8">
        <v>3</v>
      </c>
      <c r="E126" s="8"/>
      <c r="F126" s="8"/>
      <c r="G126" s="9">
        <f t="shared" si="3"/>
        <v>3</v>
      </c>
      <c r="H126" s="11">
        <f>+G126</f>
        <v>3</v>
      </c>
      <c r="I126" s="18"/>
      <c r="J126" s="18"/>
    </row>
    <row r="127" spans="1:10" ht="19.5" customHeight="1">
      <c r="A127" s="13"/>
      <c r="B127" s="15" t="s">
        <v>170</v>
      </c>
      <c r="C127" s="7">
        <v>1</v>
      </c>
      <c r="D127" s="8">
        <v>5</v>
      </c>
      <c r="E127" s="8"/>
      <c r="F127" s="8"/>
      <c r="G127" s="9">
        <f t="shared" si="3"/>
        <v>5</v>
      </c>
      <c r="H127" s="11">
        <f>+G127</f>
        <v>5</v>
      </c>
      <c r="I127" s="18"/>
      <c r="J127" s="18"/>
    </row>
    <row r="128" spans="1:10" ht="19.5" customHeight="1">
      <c r="A128" s="13"/>
      <c r="B128" s="15" t="s">
        <v>171</v>
      </c>
      <c r="C128" s="7">
        <v>1</v>
      </c>
      <c r="D128" s="8">
        <v>2</v>
      </c>
      <c r="E128" s="8"/>
      <c r="F128" s="8"/>
      <c r="G128" s="9">
        <f t="shared" si="3"/>
        <v>2</v>
      </c>
      <c r="H128" s="11">
        <f>+G128</f>
        <v>2</v>
      </c>
      <c r="I128" s="18"/>
      <c r="J128" s="18"/>
    </row>
    <row r="129" spans="1:10" ht="19.5" customHeight="1">
      <c r="A129" s="13"/>
      <c r="B129" s="15"/>
      <c r="C129" s="7"/>
      <c r="D129" s="8"/>
      <c r="E129" s="8"/>
      <c r="F129" s="8"/>
      <c r="G129" s="9"/>
      <c r="H129" s="11"/>
      <c r="I129" s="18"/>
      <c r="J129" s="18"/>
    </row>
    <row r="130" spans="1:10" ht="19.5" customHeight="1">
      <c r="A130" s="13"/>
      <c r="B130" s="15" t="s">
        <v>172</v>
      </c>
      <c r="C130" s="7"/>
      <c r="D130" s="8"/>
      <c r="E130" s="8"/>
      <c r="F130" s="8"/>
      <c r="G130" s="9"/>
      <c r="H130" s="11"/>
      <c r="I130" s="18"/>
      <c r="J130" s="18"/>
    </row>
    <row r="131" spans="1:10" ht="19.5" customHeight="1">
      <c r="A131" s="13"/>
      <c r="B131" s="15" t="s">
        <v>173</v>
      </c>
      <c r="C131" s="7">
        <v>1</v>
      </c>
      <c r="D131" s="8">
        <v>8</v>
      </c>
      <c r="E131" s="8"/>
      <c r="F131" s="8"/>
      <c r="G131" s="9">
        <f t="shared" ref="G131:G134" si="4">PRODUCT(C131:F131)</f>
        <v>8</v>
      </c>
      <c r="H131" s="11">
        <f>+G131</f>
        <v>8</v>
      </c>
      <c r="I131" s="18"/>
      <c r="J131" s="18"/>
    </row>
    <row r="132" spans="1:10" ht="19.5" customHeight="1">
      <c r="A132" s="13"/>
      <c r="B132" s="15" t="s">
        <v>174</v>
      </c>
      <c r="C132" s="7">
        <v>1</v>
      </c>
      <c r="D132" s="8">
        <v>1</v>
      </c>
      <c r="E132" s="8"/>
      <c r="F132" s="8"/>
      <c r="G132" s="9">
        <f t="shared" si="4"/>
        <v>1</v>
      </c>
      <c r="H132" s="11">
        <f>+G132</f>
        <v>1</v>
      </c>
      <c r="I132" s="18"/>
      <c r="J132" s="18"/>
    </row>
    <row r="133" spans="1:10" ht="19.5" customHeight="1">
      <c r="A133" s="13"/>
      <c r="B133" s="15" t="s">
        <v>563</v>
      </c>
      <c r="C133" s="7">
        <v>1</v>
      </c>
      <c r="D133" s="8">
        <v>1</v>
      </c>
      <c r="E133" s="8"/>
      <c r="F133" s="8"/>
      <c r="G133" s="9">
        <f t="shared" ref="G133" si="5">PRODUCT(C133:F133)</f>
        <v>1</v>
      </c>
      <c r="H133" s="11">
        <f>+G133</f>
        <v>1</v>
      </c>
      <c r="I133" s="18"/>
      <c r="J133" s="18"/>
    </row>
    <row r="134" spans="1:10" ht="19.5" customHeight="1">
      <c r="A134" s="13"/>
      <c r="B134" s="15" t="s">
        <v>175</v>
      </c>
      <c r="C134" s="7">
        <v>1</v>
      </c>
      <c r="D134" s="8">
        <v>2</v>
      </c>
      <c r="E134" s="8"/>
      <c r="F134" s="8"/>
      <c r="G134" s="9">
        <f t="shared" si="4"/>
        <v>2</v>
      </c>
      <c r="H134" s="11">
        <f>+G134</f>
        <v>2</v>
      </c>
      <c r="I134" s="18"/>
      <c r="J134" s="18"/>
    </row>
    <row r="135" spans="1:10">
      <c r="A135" s="13"/>
      <c r="B135" s="197" t="s">
        <v>176</v>
      </c>
      <c r="C135" s="198"/>
      <c r="D135" s="198"/>
      <c r="E135" s="198"/>
      <c r="F135" s="198"/>
      <c r="G135" s="194"/>
      <c r="H135" s="5"/>
      <c r="I135" s="5"/>
      <c r="J135" s="5"/>
    </row>
    <row r="136" spans="1:10" ht="19.5" customHeight="1">
      <c r="A136" s="13"/>
      <c r="B136" s="15" t="s">
        <v>564</v>
      </c>
      <c r="C136" s="7"/>
      <c r="D136" s="8"/>
      <c r="E136" s="8"/>
      <c r="F136" s="8"/>
      <c r="G136" s="9"/>
      <c r="H136" s="11"/>
      <c r="I136" s="18"/>
      <c r="J136" s="18"/>
    </row>
    <row r="137" spans="1:10" ht="19.5" customHeight="1">
      <c r="A137" s="13"/>
      <c r="B137" s="15" t="s">
        <v>559</v>
      </c>
      <c r="C137" s="7">
        <v>3</v>
      </c>
      <c r="D137" s="8">
        <f>+D151*1.05</f>
        <v>23.383500000000002</v>
      </c>
      <c r="E137" s="8"/>
      <c r="F137" s="8"/>
      <c r="G137" s="9">
        <f t="shared" ref="G137:G167" si="6">PRODUCT(C137:F137)</f>
        <v>70.150500000000008</v>
      </c>
      <c r="H137" s="11">
        <f>SUM(G137:G139)</f>
        <v>196.30800000000002</v>
      </c>
      <c r="I137" s="18"/>
      <c r="J137" s="18"/>
    </row>
    <row r="138" spans="1:10" ht="19.5" customHeight="1">
      <c r="A138" s="13"/>
      <c r="B138" s="15"/>
      <c r="C138" s="7">
        <v>3</v>
      </c>
      <c r="D138" s="8">
        <f t="shared" ref="D138:D139" si="7">+D152*1.05</f>
        <v>17.6295</v>
      </c>
      <c r="E138" s="8"/>
      <c r="F138" s="8"/>
      <c r="G138" s="9">
        <f t="shared" si="6"/>
        <v>52.888500000000001</v>
      </c>
      <c r="H138" s="11"/>
      <c r="I138" s="18"/>
      <c r="J138" s="18"/>
    </row>
    <row r="139" spans="1:10" ht="19.5" customHeight="1">
      <c r="A139" s="13"/>
      <c r="B139" s="15"/>
      <c r="C139" s="7">
        <v>3</v>
      </c>
      <c r="D139" s="8">
        <f t="shared" si="7"/>
        <v>24.423000000000002</v>
      </c>
      <c r="E139" s="8"/>
      <c r="F139" s="8"/>
      <c r="G139" s="9">
        <f t="shared" si="6"/>
        <v>73.269000000000005</v>
      </c>
      <c r="H139" s="11"/>
      <c r="I139" s="18"/>
      <c r="J139" s="18"/>
    </row>
    <row r="140" spans="1:10" ht="19.5" customHeight="1">
      <c r="A140" s="13"/>
      <c r="B140" s="15"/>
      <c r="C140" s="7"/>
      <c r="D140" s="8"/>
      <c r="E140" s="8"/>
      <c r="F140" s="8"/>
      <c r="G140" s="9"/>
      <c r="H140" s="11"/>
      <c r="I140" s="18"/>
      <c r="J140" s="18"/>
    </row>
    <row r="141" spans="1:10" ht="19.5" customHeight="1">
      <c r="A141" s="13"/>
      <c r="B141" s="15" t="s">
        <v>565</v>
      </c>
      <c r="C141" s="7"/>
      <c r="D141" s="8"/>
      <c r="E141" s="8"/>
      <c r="F141" s="8"/>
      <c r="G141" s="9"/>
      <c r="H141" s="11"/>
      <c r="I141" s="18"/>
      <c r="J141" s="18"/>
    </row>
    <row r="142" spans="1:10" ht="19.5" customHeight="1">
      <c r="A142" s="13"/>
      <c r="B142" s="15" t="s">
        <v>559</v>
      </c>
      <c r="C142" s="7">
        <v>3</v>
      </c>
      <c r="D142" s="8">
        <f>+D161*1.05</f>
        <v>5.6175000000000006</v>
      </c>
      <c r="E142" s="8"/>
      <c r="F142" s="8"/>
      <c r="G142" s="9">
        <f t="shared" ref="G142:G148" si="8">PRODUCT(C142:F142)</f>
        <v>16.852500000000003</v>
      </c>
      <c r="H142" s="11">
        <f>SUM(G142:G148)</f>
        <v>224.02800000000002</v>
      </c>
      <c r="I142" s="18"/>
      <c r="J142" s="18"/>
    </row>
    <row r="143" spans="1:10" ht="19.5" customHeight="1">
      <c r="A143" s="13"/>
      <c r="B143" s="15"/>
      <c r="C143" s="7">
        <v>3</v>
      </c>
      <c r="D143" s="8">
        <f t="shared" ref="D143:D148" si="9">+D162*1.05</f>
        <v>16.978500000000004</v>
      </c>
      <c r="E143" s="8"/>
      <c r="F143" s="8"/>
      <c r="G143" s="9">
        <f t="shared" si="8"/>
        <v>50.935500000000012</v>
      </c>
      <c r="H143" s="11"/>
      <c r="I143" s="18"/>
      <c r="J143" s="18"/>
    </row>
    <row r="144" spans="1:10" ht="19.5" customHeight="1">
      <c r="A144" s="13"/>
      <c r="B144" s="15"/>
      <c r="C144" s="7">
        <v>3</v>
      </c>
      <c r="D144" s="8">
        <f t="shared" si="9"/>
        <v>6.3525000000000009</v>
      </c>
      <c r="E144" s="8"/>
      <c r="F144" s="8"/>
      <c r="G144" s="9">
        <f t="shared" si="8"/>
        <v>19.057500000000005</v>
      </c>
      <c r="H144" s="11"/>
      <c r="I144" s="18"/>
      <c r="J144" s="18"/>
    </row>
    <row r="145" spans="1:10" ht="19.5" customHeight="1">
      <c r="A145" s="13"/>
      <c r="B145" s="15"/>
      <c r="C145" s="7">
        <v>3</v>
      </c>
      <c r="D145" s="8">
        <f t="shared" si="9"/>
        <v>9.8175000000000026</v>
      </c>
      <c r="E145" s="8"/>
      <c r="F145" s="8"/>
      <c r="G145" s="9">
        <f t="shared" si="8"/>
        <v>29.452500000000008</v>
      </c>
      <c r="H145" s="11"/>
      <c r="I145" s="18"/>
      <c r="J145" s="18"/>
    </row>
    <row r="146" spans="1:10" ht="19.5" customHeight="1">
      <c r="A146" s="13"/>
      <c r="B146" s="15"/>
      <c r="C146" s="7">
        <v>3</v>
      </c>
      <c r="D146" s="8">
        <f t="shared" si="9"/>
        <v>19.8765</v>
      </c>
      <c r="E146" s="8"/>
      <c r="F146" s="8"/>
      <c r="G146" s="9">
        <f t="shared" si="8"/>
        <v>59.6295</v>
      </c>
      <c r="H146" s="11"/>
      <c r="I146" s="18"/>
      <c r="J146" s="18"/>
    </row>
    <row r="147" spans="1:10" ht="19.5" customHeight="1">
      <c r="A147" s="13"/>
      <c r="B147" s="15"/>
      <c r="C147" s="7">
        <v>3</v>
      </c>
      <c r="D147" s="8">
        <f t="shared" si="9"/>
        <v>11.718</v>
      </c>
      <c r="E147" s="8"/>
      <c r="F147" s="8"/>
      <c r="G147" s="9">
        <f t="shared" si="8"/>
        <v>35.153999999999996</v>
      </c>
      <c r="H147" s="11"/>
      <c r="I147" s="18"/>
      <c r="J147" s="18"/>
    </row>
    <row r="148" spans="1:10" ht="19.5" customHeight="1">
      <c r="A148" s="13"/>
      <c r="B148" s="15"/>
      <c r="C148" s="7">
        <v>3</v>
      </c>
      <c r="D148" s="8">
        <f t="shared" si="9"/>
        <v>4.3154999999999992</v>
      </c>
      <c r="E148" s="8"/>
      <c r="F148" s="8"/>
      <c r="G148" s="9">
        <f t="shared" si="8"/>
        <v>12.946499999999997</v>
      </c>
      <c r="H148" s="11"/>
      <c r="I148" s="18"/>
      <c r="J148" s="18"/>
    </row>
    <row r="149" spans="1:10" ht="19.5" customHeight="1">
      <c r="A149" s="13"/>
      <c r="B149" s="15"/>
      <c r="C149" s="7"/>
      <c r="D149" s="8"/>
      <c r="E149" s="8"/>
      <c r="F149" s="8"/>
      <c r="G149" s="9"/>
      <c r="H149" s="11"/>
      <c r="I149" s="18"/>
      <c r="J149" s="18"/>
    </row>
    <row r="150" spans="1:10" ht="19.5" customHeight="1">
      <c r="A150" s="13"/>
      <c r="B150" s="15"/>
      <c r="C150" s="7"/>
      <c r="D150" s="8"/>
      <c r="E150" s="8"/>
      <c r="F150" s="8"/>
      <c r="G150" s="9"/>
      <c r="H150" s="11"/>
      <c r="I150" s="18"/>
      <c r="J150" s="18"/>
    </row>
    <row r="151" spans="1:10" ht="19.5" customHeight="1">
      <c r="A151" s="13"/>
      <c r="B151" s="15" t="s">
        <v>167</v>
      </c>
      <c r="C151" s="7">
        <v>1</v>
      </c>
      <c r="D151" s="8">
        <f>15.87+4*1.6</f>
        <v>22.27</v>
      </c>
      <c r="E151" s="8"/>
      <c r="F151" s="8"/>
      <c r="G151" s="9">
        <f t="shared" si="6"/>
        <v>22.27</v>
      </c>
      <c r="H151" s="11">
        <f>SUM(G151:G167)</f>
        <v>172.27000000000004</v>
      </c>
      <c r="I151" s="18"/>
      <c r="J151" s="18"/>
    </row>
    <row r="152" spans="1:10" ht="19.5" customHeight="1">
      <c r="A152" s="13"/>
      <c r="B152" s="15"/>
      <c r="C152" s="7">
        <v>1</v>
      </c>
      <c r="D152" s="8">
        <f>4*1.6+8.89+1.5</f>
        <v>16.79</v>
      </c>
      <c r="E152" s="8"/>
      <c r="F152" s="8"/>
      <c r="G152" s="9">
        <f t="shared" si="6"/>
        <v>16.79</v>
      </c>
      <c r="H152" s="11"/>
      <c r="I152" s="18"/>
      <c r="J152" s="18"/>
    </row>
    <row r="153" spans="1:10" ht="19.5" customHeight="1">
      <c r="A153" s="13"/>
      <c r="B153" s="15"/>
      <c r="C153" s="7">
        <v>1</v>
      </c>
      <c r="D153" s="8">
        <f>5*0.4+21.26</f>
        <v>23.26</v>
      </c>
      <c r="E153" s="8"/>
      <c r="F153" s="8"/>
      <c r="G153" s="9">
        <f t="shared" si="6"/>
        <v>23.26</v>
      </c>
      <c r="H153" s="11"/>
      <c r="I153" s="18"/>
      <c r="J153" s="18"/>
    </row>
    <row r="154" spans="1:10" ht="19.5" customHeight="1">
      <c r="A154" s="13"/>
      <c r="B154" s="15"/>
      <c r="C154" s="7">
        <v>1</v>
      </c>
      <c r="D154" s="8">
        <f>9.42+1.8+2.2</f>
        <v>13.420000000000002</v>
      </c>
      <c r="E154" s="8"/>
      <c r="F154" s="8"/>
      <c r="G154" s="9">
        <f t="shared" si="6"/>
        <v>13.420000000000002</v>
      </c>
      <c r="H154" s="11"/>
      <c r="I154" s="18" t="s">
        <v>691</v>
      </c>
      <c r="J154" s="18"/>
    </row>
    <row r="155" spans="1:10" ht="19.5" customHeight="1">
      <c r="A155" s="13"/>
      <c r="B155" s="15"/>
      <c r="C155" s="7">
        <v>1</v>
      </c>
      <c r="D155" s="8">
        <f>5.31+1.8+2.2</f>
        <v>9.3099999999999987</v>
      </c>
      <c r="E155" s="8"/>
      <c r="F155" s="8"/>
      <c r="G155" s="9">
        <f t="shared" si="6"/>
        <v>9.3099999999999987</v>
      </c>
      <c r="H155" s="11"/>
      <c r="I155" s="18" t="s">
        <v>691</v>
      </c>
      <c r="J155" s="18"/>
    </row>
    <row r="156" spans="1:10" ht="19.5" customHeight="1">
      <c r="A156" s="13"/>
      <c r="B156" s="15"/>
      <c r="C156" s="7">
        <v>1</v>
      </c>
      <c r="D156" s="8">
        <f>4.54+2.5+0.5</f>
        <v>7.54</v>
      </c>
      <c r="E156" s="8"/>
      <c r="F156" s="8"/>
      <c r="G156" s="9">
        <f t="shared" si="6"/>
        <v>7.54</v>
      </c>
      <c r="H156" s="11"/>
      <c r="I156" s="18" t="s">
        <v>691</v>
      </c>
      <c r="J156" s="18"/>
    </row>
    <row r="157" spans="1:10" ht="19.5" customHeight="1">
      <c r="A157" s="13"/>
      <c r="B157" s="15"/>
      <c r="C157" s="7">
        <v>1</v>
      </c>
      <c r="D157" s="8">
        <f>5.56+2.5+0.5</f>
        <v>8.5599999999999987</v>
      </c>
      <c r="E157" s="8"/>
      <c r="F157" s="8"/>
      <c r="G157" s="9">
        <f t="shared" si="6"/>
        <v>8.5599999999999987</v>
      </c>
      <c r="H157" s="11"/>
      <c r="I157" s="18" t="s">
        <v>691</v>
      </c>
      <c r="J157" s="18"/>
    </row>
    <row r="158" spans="1:10" ht="19.5" customHeight="1">
      <c r="A158" s="13"/>
      <c r="B158" s="15"/>
      <c r="C158" s="7"/>
      <c r="D158" s="8"/>
      <c r="E158" s="8"/>
      <c r="F158" s="8"/>
      <c r="G158" s="9"/>
      <c r="H158" s="11"/>
      <c r="I158" s="18"/>
      <c r="J158" s="18"/>
    </row>
    <row r="159" spans="1:10" ht="19.5" customHeight="1">
      <c r="A159" s="13"/>
      <c r="B159" s="15"/>
      <c r="C159" s="7"/>
      <c r="D159" s="8"/>
      <c r="E159" s="8"/>
      <c r="F159" s="8"/>
      <c r="G159" s="9"/>
      <c r="H159" s="11"/>
      <c r="I159" s="141"/>
      <c r="J159" s="18"/>
    </row>
    <row r="160" spans="1:10" ht="19.5" customHeight="1">
      <c r="A160" s="13"/>
      <c r="B160" s="15"/>
      <c r="C160" s="7"/>
      <c r="D160" s="8"/>
      <c r="E160" s="8"/>
      <c r="F160" s="8"/>
      <c r="G160" s="9"/>
      <c r="H160" s="11"/>
      <c r="I160" s="141"/>
      <c r="J160" s="18"/>
    </row>
    <row r="161" spans="1:10" ht="19.5" customHeight="1">
      <c r="A161" s="13"/>
      <c r="B161" s="15"/>
      <c r="C161" s="7">
        <v>1</v>
      </c>
      <c r="D161" s="8">
        <f>1.5+1.75+1.3+0.4+4*0.1</f>
        <v>5.3500000000000005</v>
      </c>
      <c r="E161" s="8"/>
      <c r="F161" s="8"/>
      <c r="G161" s="9">
        <f t="shared" si="6"/>
        <v>5.3500000000000005</v>
      </c>
      <c r="H161" s="11"/>
      <c r="I161" s="141"/>
      <c r="J161" s="18"/>
    </row>
    <row r="162" spans="1:10" ht="19.5" customHeight="1">
      <c r="A162" s="13"/>
      <c r="B162" s="15"/>
      <c r="C162" s="7">
        <v>1</v>
      </c>
      <c r="D162" s="8">
        <f>1.5+5.75+2.52+4*1.1+5*0.4</f>
        <v>16.170000000000002</v>
      </c>
      <c r="E162" s="8"/>
      <c r="F162" s="8"/>
      <c r="G162" s="9">
        <f t="shared" si="6"/>
        <v>16.170000000000002</v>
      </c>
      <c r="H162" s="11"/>
      <c r="I162" s="141"/>
      <c r="J162" s="18"/>
    </row>
    <row r="163" spans="1:10" ht="19.5" customHeight="1">
      <c r="A163" s="13"/>
      <c r="B163" s="15"/>
      <c r="C163" s="7">
        <v>1</v>
      </c>
      <c r="D163" s="8">
        <f>1.5+2.45+1.3+0.4+4*0.1</f>
        <v>6.0500000000000007</v>
      </c>
      <c r="E163" s="8"/>
      <c r="F163" s="8"/>
      <c r="G163" s="9">
        <f t="shared" si="6"/>
        <v>6.0500000000000007</v>
      </c>
      <c r="H163" s="11"/>
      <c r="I163" s="141"/>
      <c r="J163" s="18"/>
    </row>
    <row r="164" spans="1:10" ht="19.5" customHeight="1">
      <c r="A164" s="13"/>
      <c r="B164" s="15"/>
      <c r="C164" s="7">
        <v>1</v>
      </c>
      <c r="D164" s="8">
        <f>1.5+5.75+1.3+0.4+4*0.1</f>
        <v>9.3500000000000014</v>
      </c>
      <c r="E164" s="8"/>
      <c r="F164" s="8"/>
      <c r="G164" s="9">
        <f t="shared" si="6"/>
        <v>9.3500000000000014</v>
      </c>
      <c r="H164" s="11"/>
      <c r="I164" s="141"/>
      <c r="J164" s="18"/>
    </row>
    <row r="165" spans="1:10" ht="19.5" customHeight="1">
      <c r="A165" s="13"/>
      <c r="B165" s="15"/>
      <c r="C165" s="7">
        <v>1</v>
      </c>
      <c r="D165" s="8">
        <f>1.5+5.75+11.18+0.5</f>
        <v>18.93</v>
      </c>
      <c r="E165" s="8"/>
      <c r="F165" s="8"/>
      <c r="G165" s="9">
        <f t="shared" si="6"/>
        <v>18.93</v>
      </c>
      <c r="H165" s="11"/>
      <c r="I165" s="141"/>
      <c r="J165" s="18"/>
    </row>
    <row r="166" spans="1:10" ht="19.5" customHeight="1">
      <c r="A166" s="13"/>
      <c r="B166" s="15"/>
      <c r="C166" s="7">
        <v>1</v>
      </c>
      <c r="D166" s="8">
        <f>10.76+0.4</f>
        <v>11.16</v>
      </c>
      <c r="E166" s="8"/>
      <c r="F166" s="8"/>
      <c r="G166" s="9">
        <f t="shared" si="6"/>
        <v>11.16</v>
      </c>
      <c r="H166" s="11"/>
      <c r="I166" s="141"/>
      <c r="J166" s="18"/>
    </row>
    <row r="167" spans="1:10" ht="19.5" customHeight="1">
      <c r="A167" s="13"/>
      <c r="B167" s="15"/>
      <c r="C167" s="7">
        <v>1</v>
      </c>
      <c r="D167" s="8">
        <f>3.11+0.5+0.5</f>
        <v>4.1099999999999994</v>
      </c>
      <c r="E167" s="8"/>
      <c r="F167" s="8"/>
      <c r="G167" s="9">
        <f t="shared" si="6"/>
        <v>4.1099999999999994</v>
      </c>
      <c r="H167" s="11"/>
      <c r="I167" s="141"/>
      <c r="J167" s="18"/>
    </row>
    <row r="168" spans="1:10" ht="19.5" customHeight="1">
      <c r="A168" s="13"/>
      <c r="B168" s="15"/>
      <c r="C168" s="7"/>
      <c r="D168" s="8"/>
      <c r="E168" s="8"/>
      <c r="F168" s="8"/>
      <c r="G168" s="9"/>
      <c r="H168" s="11"/>
      <c r="I168" s="141"/>
      <c r="J168" s="18"/>
    </row>
    <row r="169" spans="1:10" ht="19.5" customHeight="1">
      <c r="A169" s="13"/>
      <c r="B169" s="15"/>
      <c r="C169" s="7"/>
      <c r="D169" s="8"/>
      <c r="E169" s="8"/>
      <c r="F169" s="8"/>
      <c r="G169" s="9"/>
      <c r="H169" s="11"/>
      <c r="I169" s="141"/>
      <c r="J169" s="18"/>
    </row>
    <row r="170" spans="1:10" ht="19.5" customHeight="1">
      <c r="A170" s="13"/>
      <c r="B170" s="15"/>
      <c r="C170" s="7"/>
      <c r="D170" s="8"/>
      <c r="E170" s="8"/>
      <c r="F170" s="8"/>
      <c r="G170" s="9"/>
      <c r="H170" s="11"/>
      <c r="I170" s="141"/>
      <c r="J170" s="18"/>
    </row>
    <row r="171" spans="1:10" ht="19.5" customHeight="1">
      <c r="A171" s="13"/>
      <c r="B171" s="15"/>
      <c r="C171" s="7"/>
      <c r="D171" s="8"/>
      <c r="E171" s="8"/>
      <c r="F171" s="8"/>
      <c r="G171" s="9"/>
      <c r="H171" s="11"/>
      <c r="I171" s="141"/>
      <c r="J171" s="18"/>
    </row>
    <row r="172" spans="1:10" ht="19.5" customHeight="1">
      <c r="A172" s="13"/>
      <c r="B172" s="15"/>
      <c r="C172" s="7"/>
      <c r="D172" s="8"/>
      <c r="E172" s="8"/>
      <c r="F172" s="8"/>
      <c r="G172" s="9"/>
      <c r="H172" s="11"/>
      <c r="I172" s="18"/>
      <c r="J172" s="18"/>
    </row>
    <row r="173" spans="1:10" ht="19.5" customHeight="1">
      <c r="A173" s="13"/>
      <c r="B173" s="15" t="s">
        <v>566</v>
      </c>
      <c r="C173" s="7">
        <v>2</v>
      </c>
      <c r="D173" s="8">
        <f>1.91+1.5+0.6+3.19</f>
        <v>7.1999999999999993</v>
      </c>
      <c r="E173" s="8"/>
      <c r="F173" s="8"/>
      <c r="G173" s="9">
        <f>PRODUCT(C173:F173)</f>
        <v>14.399999999999999</v>
      </c>
      <c r="H173" s="11">
        <f>SUM(G173)</f>
        <v>14.399999999999999</v>
      </c>
      <c r="I173" s="18" t="s">
        <v>691</v>
      </c>
      <c r="J173" s="18"/>
    </row>
    <row r="174" spans="1:10" ht="19.5" customHeight="1">
      <c r="A174" s="13"/>
      <c r="B174" s="15"/>
      <c r="C174" s="7"/>
      <c r="D174" s="8"/>
      <c r="E174" s="8"/>
      <c r="F174" s="8"/>
      <c r="G174" s="9"/>
      <c r="H174" s="11"/>
      <c r="I174" s="18"/>
      <c r="J174" s="18"/>
    </row>
    <row r="175" spans="1:10" ht="19.5" customHeight="1">
      <c r="A175" s="13"/>
      <c r="B175" s="15"/>
      <c r="C175" s="7"/>
      <c r="D175" s="8"/>
      <c r="E175" s="8"/>
      <c r="F175" s="8"/>
      <c r="G175" s="9"/>
      <c r="H175" s="11"/>
      <c r="I175" s="18"/>
      <c r="J175" s="18"/>
    </row>
    <row r="176" spans="1:10" ht="19.5" customHeight="1">
      <c r="A176" s="13"/>
      <c r="B176" s="15" t="s">
        <v>573</v>
      </c>
      <c r="C176" s="7">
        <v>1</v>
      </c>
      <c r="D176" s="8">
        <f>6.34+1.5+0.5</f>
        <v>8.34</v>
      </c>
      <c r="E176" s="8"/>
      <c r="F176" s="8"/>
      <c r="G176" s="9">
        <f>PRODUCT(C176:F176)</f>
        <v>8.34</v>
      </c>
      <c r="H176" s="11">
        <f>SUM(G176:G177)</f>
        <v>17.43</v>
      </c>
      <c r="I176" s="18" t="s">
        <v>691</v>
      </c>
      <c r="J176" s="18"/>
    </row>
    <row r="177" spans="1:10" ht="19.5" customHeight="1">
      <c r="A177" s="13"/>
      <c r="B177" s="15"/>
      <c r="C177" s="7">
        <v>1</v>
      </c>
      <c r="D177" s="8">
        <f>7.09+1.5+0.5</f>
        <v>9.09</v>
      </c>
      <c r="E177" s="8"/>
      <c r="F177" s="8"/>
      <c r="G177" s="9">
        <f>PRODUCT(C177:F177)</f>
        <v>9.09</v>
      </c>
      <c r="H177" s="11"/>
      <c r="I177" s="18"/>
      <c r="J177" s="18"/>
    </row>
    <row r="178" spans="1:10" ht="19.5" customHeight="1">
      <c r="A178" s="13"/>
      <c r="B178" s="15"/>
      <c r="C178" s="7"/>
      <c r="D178" s="8"/>
      <c r="E178" s="8"/>
      <c r="F178" s="8"/>
      <c r="G178" s="9"/>
      <c r="H178" s="11"/>
      <c r="I178" s="18"/>
      <c r="J178" s="18"/>
    </row>
    <row r="179" spans="1:10" ht="19.5" customHeight="1">
      <c r="A179" s="13"/>
      <c r="B179" s="15" t="s">
        <v>177</v>
      </c>
      <c r="C179" s="7">
        <v>1</v>
      </c>
      <c r="D179" s="8">
        <v>11</v>
      </c>
      <c r="E179" s="8"/>
      <c r="F179" s="8"/>
      <c r="G179" s="9">
        <f>PRODUCT(C179:F179)</f>
        <v>11</v>
      </c>
      <c r="H179" s="11">
        <f>SUM(G179)</f>
        <v>11</v>
      </c>
      <c r="I179" s="18"/>
      <c r="J179" s="18"/>
    </row>
    <row r="180" spans="1:10" ht="19.5" customHeight="1">
      <c r="A180" s="13"/>
      <c r="B180" s="15" t="s">
        <v>567</v>
      </c>
      <c r="C180" s="7">
        <v>1</v>
      </c>
      <c r="D180" s="8">
        <v>21</v>
      </c>
      <c r="E180" s="8"/>
      <c r="F180" s="8"/>
      <c r="G180" s="9">
        <f>PRODUCT(C180:F180)</f>
        <v>21</v>
      </c>
      <c r="H180" s="11">
        <f>SUM(G180)</f>
        <v>21</v>
      </c>
      <c r="I180" s="18"/>
      <c r="J180" s="18"/>
    </row>
    <row r="181" spans="1:10" ht="19.5" customHeight="1">
      <c r="A181" s="13"/>
      <c r="B181" s="15" t="s">
        <v>178</v>
      </c>
      <c r="C181" s="7">
        <v>1</v>
      </c>
      <c r="D181" s="8">
        <v>8</v>
      </c>
      <c r="E181" s="8"/>
      <c r="F181" s="8"/>
      <c r="G181" s="9">
        <f>PRODUCT(C181:F181)</f>
        <v>8</v>
      </c>
      <c r="H181" s="11">
        <f>SUM(G181)</f>
        <v>8</v>
      </c>
      <c r="I181" s="18"/>
      <c r="J181" s="18"/>
    </row>
    <row r="182" spans="1:10" ht="19.5" customHeight="1">
      <c r="A182" s="13"/>
      <c r="B182" s="15"/>
      <c r="C182" s="7"/>
      <c r="D182" s="8"/>
      <c r="E182" s="8"/>
      <c r="F182" s="8"/>
      <c r="G182" s="9"/>
      <c r="H182" s="11"/>
      <c r="I182" s="18"/>
      <c r="J182" s="18"/>
    </row>
    <row r="183" spans="1:10" ht="19.5" customHeight="1">
      <c r="A183" s="13"/>
      <c r="B183" s="15"/>
      <c r="C183" s="7"/>
      <c r="D183" s="8"/>
      <c r="E183" s="8"/>
      <c r="F183" s="8"/>
      <c r="G183" s="9"/>
      <c r="H183" s="11"/>
      <c r="I183" s="18"/>
      <c r="J183" s="18"/>
    </row>
    <row r="184" spans="1:10" ht="19.5" customHeight="1">
      <c r="A184" s="13"/>
      <c r="B184" s="15" t="s">
        <v>692</v>
      </c>
      <c r="C184" s="7">
        <v>1</v>
      </c>
      <c r="D184" s="8">
        <f>5.27+9.52+5.53+4.06+7.09+6.34+4.65+5.59+8*1.5</f>
        <v>60.05</v>
      </c>
      <c r="E184" s="8"/>
      <c r="F184" s="8"/>
      <c r="G184" s="9">
        <f>PRODUCT(C184:F184)</f>
        <v>60.05</v>
      </c>
      <c r="H184" s="11">
        <f>SUM(G184)</f>
        <v>60.05</v>
      </c>
      <c r="I184" s="18"/>
      <c r="J184" s="18"/>
    </row>
    <row r="185" spans="1:10">
      <c r="A185" s="13"/>
      <c r="B185" s="197" t="s">
        <v>179</v>
      </c>
      <c r="C185" s="198"/>
      <c r="D185" s="198"/>
      <c r="E185" s="198"/>
      <c r="F185" s="198"/>
      <c r="G185" s="194"/>
      <c r="H185" s="5"/>
      <c r="I185" s="5"/>
      <c r="J185" s="5"/>
    </row>
    <row r="186" spans="1:10" ht="19.5" customHeight="1">
      <c r="A186" s="13"/>
      <c r="B186" s="15"/>
      <c r="C186" s="7"/>
      <c r="D186" s="8"/>
      <c r="E186" s="8"/>
      <c r="F186" s="8"/>
      <c r="G186" s="9"/>
      <c r="H186" s="11"/>
      <c r="I186" s="18"/>
      <c r="J186" s="18"/>
    </row>
    <row r="187" spans="1:10" ht="19.5" customHeight="1">
      <c r="A187" s="13"/>
      <c r="B187" s="15" t="s">
        <v>180</v>
      </c>
      <c r="C187" s="7">
        <v>1</v>
      </c>
      <c r="D187" s="8">
        <f>1.6+3.85+0.6+3.51+0.5</f>
        <v>10.059999999999999</v>
      </c>
      <c r="E187" s="8"/>
      <c r="F187" s="8"/>
      <c r="G187" s="9">
        <f t="shared" ref="G187:G190" si="10">PRODUCT(C187:F187)</f>
        <v>10.059999999999999</v>
      </c>
      <c r="H187" s="11">
        <f>SUM(G187:G194)</f>
        <v>80.029999999999987</v>
      </c>
      <c r="I187" s="18"/>
      <c r="J187" s="18"/>
    </row>
    <row r="188" spans="1:10" ht="19.5" customHeight="1">
      <c r="A188" s="13"/>
      <c r="B188" s="15"/>
      <c r="C188" s="7">
        <v>1</v>
      </c>
      <c r="D188" s="8">
        <f>3.42+0.5+0.6+1.75+0.6+1.2*4+5*0.4</f>
        <v>13.669999999999998</v>
      </c>
      <c r="E188" s="8"/>
      <c r="F188" s="8"/>
      <c r="G188" s="9">
        <f t="shared" si="10"/>
        <v>13.669999999999998</v>
      </c>
      <c r="H188" s="11"/>
      <c r="I188" s="18"/>
      <c r="J188" s="18"/>
    </row>
    <row r="189" spans="1:10" ht="19.5" customHeight="1">
      <c r="A189" s="13"/>
      <c r="B189" s="15"/>
      <c r="C189" s="7">
        <v>1</v>
      </c>
      <c r="D189" s="8">
        <f>3.42+0.5+0.6+3.65+0.6+1.2*4+5*0.4</f>
        <v>15.57</v>
      </c>
      <c r="E189" s="8"/>
      <c r="F189" s="8"/>
      <c r="G189" s="9">
        <f t="shared" si="10"/>
        <v>15.57</v>
      </c>
      <c r="H189" s="11"/>
      <c r="I189" s="18"/>
      <c r="J189" s="18"/>
    </row>
    <row r="190" spans="1:10" ht="19.5" customHeight="1">
      <c r="A190" s="13"/>
      <c r="B190" s="15"/>
      <c r="C190" s="7">
        <v>1</v>
      </c>
      <c r="D190" s="8">
        <f>9.54+0.5+0.6</f>
        <v>10.639999999999999</v>
      </c>
      <c r="E190" s="8"/>
      <c r="F190" s="8"/>
      <c r="G190" s="9">
        <f t="shared" si="10"/>
        <v>10.639999999999999</v>
      </c>
      <c r="H190" s="11"/>
      <c r="I190" s="18"/>
      <c r="J190" s="18"/>
    </row>
    <row r="191" spans="1:10" ht="19.5" customHeight="1">
      <c r="A191" s="13"/>
      <c r="B191" s="15"/>
      <c r="C191" s="7">
        <v>1</v>
      </c>
      <c r="D191" s="8">
        <f>8.27+0.6+1.5+0.5</f>
        <v>10.87</v>
      </c>
      <c r="E191" s="8"/>
      <c r="F191" s="8"/>
      <c r="G191" s="9">
        <f t="shared" ref="G191:G193" si="11">PRODUCT(C191:F191)</f>
        <v>10.87</v>
      </c>
      <c r="H191" s="11"/>
      <c r="I191" s="18"/>
      <c r="J191" s="18"/>
    </row>
    <row r="192" spans="1:10" ht="19.5" customHeight="1">
      <c r="A192" s="13"/>
      <c r="B192" s="15"/>
      <c r="C192" s="7">
        <v>1</v>
      </c>
      <c r="D192" s="8">
        <f>12.46+1.5+0.6+0.5</f>
        <v>15.06</v>
      </c>
      <c r="E192" s="8"/>
      <c r="F192" s="8"/>
      <c r="G192" s="9">
        <f t="shared" si="11"/>
        <v>15.06</v>
      </c>
      <c r="H192" s="11"/>
      <c r="I192" s="18"/>
      <c r="J192" s="18"/>
    </row>
    <row r="193" spans="1:10" ht="19.5" customHeight="1">
      <c r="A193" s="13"/>
      <c r="B193" s="15"/>
      <c r="C193" s="7">
        <v>1</v>
      </c>
      <c r="D193" s="8">
        <f>3.16+0.5*2</f>
        <v>4.16</v>
      </c>
      <c r="E193" s="8"/>
      <c r="F193" s="8"/>
      <c r="G193" s="9">
        <f t="shared" si="11"/>
        <v>4.16</v>
      </c>
      <c r="H193" s="11"/>
      <c r="I193" s="18"/>
      <c r="J193" s="18"/>
    </row>
    <row r="194" spans="1:10" ht="19.5" customHeight="1">
      <c r="A194" s="13"/>
      <c r="B194" s="15"/>
      <c r="C194" s="7"/>
      <c r="D194" s="8"/>
      <c r="E194" s="8"/>
      <c r="F194" s="8"/>
      <c r="G194" s="9"/>
      <c r="H194" s="11"/>
      <c r="I194" s="18"/>
      <c r="J194" s="18"/>
    </row>
    <row r="195" spans="1:10" ht="19.5" customHeight="1">
      <c r="A195" s="13"/>
      <c r="B195" s="15" t="s">
        <v>181</v>
      </c>
      <c r="C195" s="7">
        <v>1</v>
      </c>
      <c r="D195" s="7">
        <v>16</v>
      </c>
      <c r="E195" s="8"/>
      <c r="F195" s="8"/>
      <c r="G195" s="9">
        <f t="shared" ref="G195" si="12">PRODUCT(C195:F195)</f>
        <v>16</v>
      </c>
      <c r="H195" s="11">
        <f>SUM(G195)</f>
        <v>16</v>
      </c>
      <c r="I195" s="18"/>
      <c r="J195" s="18"/>
    </row>
    <row r="196" spans="1:10" ht="19.5" customHeight="1">
      <c r="A196" s="13"/>
      <c r="B196" s="15"/>
      <c r="C196" s="7"/>
      <c r="D196" s="7"/>
      <c r="E196" s="8"/>
      <c r="F196" s="8"/>
      <c r="G196" s="9"/>
      <c r="H196" s="11"/>
      <c r="I196" s="18"/>
      <c r="J196" s="18"/>
    </row>
    <row r="197" spans="1:10" ht="19.5" customHeight="1">
      <c r="A197" s="13"/>
      <c r="B197" s="15"/>
      <c r="C197" s="7"/>
      <c r="D197" s="8"/>
      <c r="E197" s="8"/>
      <c r="F197" s="8"/>
      <c r="G197" s="9"/>
      <c r="H197" s="11"/>
      <c r="I197" s="18"/>
      <c r="J197" s="18"/>
    </row>
    <row r="198" spans="1:10">
      <c r="A198" s="4"/>
      <c r="B198" s="197" t="s">
        <v>182</v>
      </c>
      <c r="C198" s="198"/>
      <c r="D198" s="198"/>
      <c r="E198" s="198"/>
      <c r="F198" s="198"/>
      <c r="G198" s="194"/>
      <c r="H198" s="5"/>
      <c r="I198" s="5" t="s">
        <v>11</v>
      </c>
      <c r="J198" s="5"/>
    </row>
    <row r="199" spans="1:10">
      <c r="A199" s="13"/>
      <c r="B199" s="15"/>
      <c r="C199" s="7"/>
      <c r="D199" s="8"/>
      <c r="E199" s="8"/>
      <c r="F199" s="8"/>
      <c r="G199" s="9"/>
      <c r="H199" s="11"/>
      <c r="I199" s="18"/>
      <c r="J199" s="19"/>
    </row>
    <row r="200" spans="1:10">
      <c r="A200" s="13"/>
      <c r="B200" s="15" t="s">
        <v>183</v>
      </c>
      <c r="C200" s="7">
        <v>1</v>
      </c>
      <c r="D200" s="8">
        <f>2.98+2*0.6+2*0.5+1.2+0.3*3+1.25+2.15+0.3+0.3+3.47+0.75+0.5+1.2+3*0.3+2.2*2</f>
        <v>22.5</v>
      </c>
      <c r="E200" s="8"/>
      <c r="F200" s="8"/>
      <c r="G200" s="9">
        <f t="shared" ref="G200:G208" si="13">PRODUCT(C200:F200)</f>
        <v>22.5</v>
      </c>
      <c r="H200" s="11">
        <f>+G200</f>
        <v>22.5</v>
      </c>
      <c r="I200" s="18"/>
      <c r="J200" s="19"/>
    </row>
    <row r="201" spans="1:10">
      <c r="A201" s="13"/>
      <c r="B201" s="15" t="s">
        <v>569</v>
      </c>
      <c r="C201" s="7">
        <v>1</v>
      </c>
      <c r="D201" s="8">
        <f>3.52+4.5</f>
        <v>8.02</v>
      </c>
      <c r="E201" s="8"/>
      <c r="F201" s="8"/>
      <c r="G201" s="9">
        <f t="shared" ref="G201" si="14">PRODUCT(C201:F201)</f>
        <v>8.02</v>
      </c>
      <c r="H201" s="11">
        <f>+G201</f>
        <v>8.02</v>
      </c>
      <c r="I201" s="18"/>
      <c r="J201" s="19"/>
    </row>
    <row r="202" spans="1:10">
      <c r="A202" s="13"/>
      <c r="B202" s="15" t="s">
        <v>568</v>
      </c>
      <c r="C202" s="7">
        <v>1</v>
      </c>
      <c r="D202" s="8">
        <f>1.45+0.3+0.3+0.3+9.43+0.3+0.25+3.26+0.15+2.8+0.3+1.6+1.25+4.3*2</f>
        <v>30.29</v>
      </c>
      <c r="E202" s="8"/>
      <c r="F202" s="8"/>
      <c r="G202" s="9">
        <f t="shared" ref="G202" si="15">PRODUCT(C202:F202)</f>
        <v>30.29</v>
      </c>
      <c r="H202" s="11">
        <f>+G202</f>
        <v>30.29</v>
      </c>
      <c r="I202" s="18"/>
      <c r="J202" s="19"/>
    </row>
    <row r="203" spans="1:10">
      <c r="A203" s="13"/>
      <c r="B203" s="15"/>
      <c r="C203" s="7"/>
      <c r="D203" s="8"/>
      <c r="E203" s="8"/>
      <c r="F203" s="8"/>
      <c r="G203" s="9"/>
      <c r="H203" s="11"/>
      <c r="I203" s="18"/>
      <c r="J203" s="19"/>
    </row>
    <row r="204" spans="1:10">
      <c r="A204" s="13"/>
      <c r="B204" s="15"/>
      <c r="C204" s="7"/>
      <c r="D204" s="8"/>
      <c r="E204" s="8"/>
      <c r="F204" s="8"/>
      <c r="G204" s="9"/>
      <c r="H204" s="11"/>
      <c r="I204" s="18"/>
      <c r="J204" s="19"/>
    </row>
    <row r="205" spans="1:10">
      <c r="A205" s="13"/>
      <c r="B205" s="15" t="s">
        <v>184</v>
      </c>
      <c r="C205" s="7">
        <v>1</v>
      </c>
      <c r="D205" s="8">
        <f>1.52+5.71+2.2+1.2+0.45+1.2+2.84+0.45+1.2+4.1+1.94+1.2+2.19+0.375+1.2+4.1+3.38+0.31+0.4+0.4+6.67+2.2+6.67+3.3*2+0.88*2+5.1+1.26+0.3</f>
        <v>66.925000000000011</v>
      </c>
      <c r="E205" s="8"/>
      <c r="F205" s="8"/>
      <c r="G205" s="9">
        <f t="shared" si="13"/>
        <v>66.925000000000011</v>
      </c>
      <c r="H205" s="11">
        <f>+G205</f>
        <v>66.925000000000011</v>
      </c>
      <c r="I205" s="18"/>
      <c r="J205" s="19"/>
    </row>
    <row r="206" spans="1:10">
      <c r="A206" s="13"/>
      <c r="B206" s="15" t="s">
        <v>185</v>
      </c>
      <c r="C206" s="7">
        <v>1</v>
      </c>
      <c r="D206" s="8">
        <f>3.09+4.54+4.1+4.37+2.53+0.75+3.45+1.35+8.24+4.1+0.5</f>
        <v>37.020000000000003</v>
      </c>
      <c r="E206" s="8"/>
      <c r="F206" s="8"/>
      <c r="G206" s="9">
        <f t="shared" si="13"/>
        <v>37.020000000000003</v>
      </c>
      <c r="H206" s="11">
        <f>+G206</f>
        <v>37.020000000000003</v>
      </c>
      <c r="I206" s="18"/>
      <c r="J206" s="19"/>
    </row>
    <row r="207" spans="1:10">
      <c r="A207" s="13"/>
      <c r="B207" s="44" t="s">
        <v>186</v>
      </c>
      <c r="C207" s="7">
        <v>1</v>
      </c>
      <c r="D207" s="8">
        <f>15.75+12.71</f>
        <v>28.46</v>
      </c>
      <c r="E207" s="8"/>
      <c r="F207" s="8"/>
      <c r="G207" s="9">
        <f t="shared" si="13"/>
        <v>28.46</v>
      </c>
      <c r="H207" s="11">
        <f>+G207</f>
        <v>28.46</v>
      </c>
      <c r="I207" s="18"/>
      <c r="J207" s="19"/>
    </row>
    <row r="208" spans="1:10">
      <c r="A208" s="13"/>
      <c r="B208" s="44" t="s">
        <v>187</v>
      </c>
      <c r="C208" s="7">
        <v>1</v>
      </c>
      <c r="D208" s="8">
        <v>2</v>
      </c>
      <c r="E208" s="8"/>
      <c r="F208" s="8"/>
      <c r="G208" s="9">
        <f t="shared" si="13"/>
        <v>2</v>
      </c>
      <c r="H208" s="11">
        <f>+G208</f>
        <v>2</v>
      </c>
      <c r="I208" s="18" t="s">
        <v>6</v>
      </c>
      <c r="J208" s="19"/>
    </row>
    <row r="209" spans="1:10">
      <c r="A209" s="13"/>
      <c r="B209" s="44"/>
      <c r="C209" s="7"/>
      <c r="D209" s="8"/>
      <c r="E209" s="8"/>
      <c r="F209" s="8"/>
      <c r="G209" s="9"/>
      <c r="H209" s="11"/>
      <c r="I209" s="18"/>
      <c r="J209" s="19"/>
    </row>
    <row r="210" spans="1:10">
      <c r="A210" s="13"/>
      <c r="B210" s="44" t="s">
        <v>196</v>
      </c>
      <c r="C210" s="7">
        <v>1</v>
      </c>
      <c r="D210" s="8">
        <v>2</v>
      </c>
      <c r="E210" s="8"/>
      <c r="F210" s="8"/>
      <c r="G210" s="9">
        <f t="shared" ref="G210:G214" si="16">PRODUCT(C210:F210)</f>
        <v>2</v>
      </c>
      <c r="H210" s="11">
        <f t="shared" ref="H210:H214" si="17">+G210</f>
        <v>2</v>
      </c>
      <c r="I210" s="18"/>
      <c r="J210" s="19"/>
    </row>
    <row r="211" spans="1:10">
      <c r="A211" s="13"/>
      <c r="B211" s="44" t="s">
        <v>195</v>
      </c>
      <c r="C211" s="7">
        <v>1</v>
      </c>
      <c r="D211" s="8">
        <v>2</v>
      </c>
      <c r="E211" s="8"/>
      <c r="F211" s="8"/>
      <c r="G211" s="9">
        <f t="shared" si="16"/>
        <v>2</v>
      </c>
      <c r="H211" s="11">
        <f t="shared" si="17"/>
        <v>2</v>
      </c>
      <c r="I211" s="18"/>
      <c r="J211" s="19"/>
    </row>
    <row r="212" spans="1:10">
      <c r="A212" s="13"/>
      <c r="B212" s="44" t="s">
        <v>197</v>
      </c>
      <c r="C212" s="7">
        <v>1</v>
      </c>
      <c r="D212" s="8">
        <v>1</v>
      </c>
      <c r="E212" s="8"/>
      <c r="F212" s="8"/>
      <c r="G212" s="9">
        <f t="shared" si="16"/>
        <v>1</v>
      </c>
      <c r="H212" s="11">
        <f t="shared" si="17"/>
        <v>1</v>
      </c>
      <c r="I212" s="18"/>
      <c r="J212" s="19"/>
    </row>
    <row r="213" spans="1:10">
      <c r="A213" s="13"/>
      <c r="B213" s="44" t="s">
        <v>198</v>
      </c>
      <c r="C213" s="7">
        <v>1</v>
      </c>
      <c r="D213" s="8">
        <v>2</v>
      </c>
      <c r="E213" s="8"/>
      <c r="F213" s="8"/>
      <c r="G213" s="9">
        <f t="shared" si="16"/>
        <v>2</v>
      </c>
      <c r="H213" s="11">
        <f t="shared" si="17"/>
        <v>2</v>
      </c>
      <c r="I213" s="18"/>
      <c r="J213" s="19"/>
    </row>
    <row r="214" spans="1:10">
      <c r="A214" s="13"/>
      <c r="B214" s="44" t="s">
        <v>570</v>
      </c>
      <c r="C214" s="7">
        <v>1</v>
      </c>
      <c r="D214" s="8">
        <v>1</v>
      </c>
      <c r="E214" s="8"/>
      <c r="F214" s="8"/>
      <c r="G214" s="9">
        <f t="shared" si="16"/>
        <v>1</v>
      </c>
      <c r="H214" s="11">
        <f t="shared" si="17"/>
        <v>1</v>
      </c>
      <c r="I214" s="18"/>
      <c r="J214" s="19"/>
    </row>
    <row r="215" spans="1:10">
      <c r="A215" s="13"/>
      <c r="B215" s="44"/>
      <c r="C215" s="7"/>
      <c r="D215" s="8"/>
      <c r="E215" s="8"/>
      <c r="F215" s="8"/>
      <c r="G215" s="9"/>
      <c r="H215" s="11"/>
      <c r="I215" s="18"/>
      <c r="J215" s="19"/>
    </row>
    <row r="216" spans="1:10">
      <c r="A216" s="4"/>
      <c r="B216" s="194" t="s">
        <v>188</v>
      </c>
      <c r="C216" s="195"/>
      <c r="D216" s="195"/>
      <c r="E216" s="195"/>
      <c r="F216" s="195"/>
      <c r="G216" s="195"/>
      <c r="H216" s="5">
        <f>+SUM(G217+G221+G225)</f>
        <v>131.10839999999999</v>
      </c>
      <c r="I216" s="5" t="s">
        <v>11</v>
      </c>
      <c r="J216" s="5"/>
    </row>
    <row r="217" spans="1:10">
      <c r="A217" s="13"/>
      <c r="B217" s="45" t="s">
        <v>189</v>
      </c>
      <c r="C217" s="7">
        <v>1</v>
      </c>
      <c r="D217" s="8">
        <f>3.46+1.296+1.2544+5.388+1.35+2.66+6.37+4.36+1.53+4.08+2.08+1.61+1.53+1.21+1.8+0.75+1+1.08+0.5+2.5+2.59+1.2+1.4+1.67+0.67+1.8+1</f>
        <v>56.138399999999997</v>
      </c>
      <c r="E217" s="8"/>
      <c r="F217" s="8"/>
      <c r="G217" s="9">
        <f t="shared" ref="G217:G221" si="18">PRODUCT(C217:F217)</f>
        <v>56.138399999999997</v>
      </c>
      <c r="H217" s="11"/>
      <c r="I217" s="18"/>
      <c r="J217" s="19"/>
    </row>
    <row r="218" spans="1:10">
      <c r="A218" s="13"/>
      <c r="B218" s="15" t="s">
        <v>190</v>
      </c>
      <c r="C218" s="7">
        <v>1</v>
      </c>
      <c r="D218" s="8">
        <v>15</v>
      </c>
      <c r="E218" s="8"/>
      <c r="F218" s="8"/>
      <c r="G218" s="9">
        <f t="shared" si="18"/>
        <v>15</v>
      </c>
      <c r="H218" s="11" t="s">
        <v>30</v>
      </c>
      <c r="I218" s="18" t="s">
        <v>571</v>
      </c>
      <c r="J218" s="19"/>
    </row>
    <row r="219" spans="1:10">
      <c r="A219" s="13"/>
      <c r="B219" s="15" t="s">
        <v>191</v>
      </c>
      <c r="C219" s="7">
        <v>1</v>
      </c>
      <c r="D219" s="8">
        <v>7</v>
      </c>
      <c r="E219" s="8"/>
      <c r="F219" s="8"/>
      <c r="G219" s="9">
        <f t="shared" si="18"/>
        <v>7</v>
      </c>
      <c r="H219" s="11" t="s">
        <v>30</v>
      </c>
      <c r="I219" s="18" t="s">
        <v>571</v>
      </c>
      <c r="J219" s="19"/>
    </row>
    <row r="220" spans="1:10">
      <c r="A220" s="13"/>
      <c r="B220" s="15"/>
      <c r="C220" s="7"/>
      <c r="D220" s="8"/>
      <c r="E220" s="8"/>
      <c r="F220" s="8"/>
      <c r="G220" s="9"/>
      <c r="H220" s="11"/>
      <c r="I220" s="18"/>
      <c r="J220" s="19"/>
    </row>
    <row r="221" spans="1:10">
      <c r="A221" s="13"/>
      <c r="B221" s="45" t="s">
        <v>192</v>
      </c>
      <c r="C221" s="7">
        <v>1</v>
      </c>
      <c r="D221" s="8">
        <f>6.1+2.67+3.31+1.8+1.9+3.29+4.1+3.85+3.05+0.36+2.5</f>
        <v>32.930000000000007</v>
      </c>
      <c r="E221" s="8"/>
      <c r="F221" s="8"/>
      <c r="G221" s="9">
        <f t="shared" si="18"/>
        <v>32.930000000000007</v>
      </c>
      <c r="H221" s="11"/>
      <c r="I221" s="18"/>
      <c r="J221" s="19"/>
    </row>
    <row r="222" spans="1:10">
      <c r="A222" s="13"/>
      <c r="B222" s="15" t="s">
        <v>190</v>
      </c>
      <c r="C222" s="7">
        <v>1</v>
      </c>
      <c r="D222" s="8">
        <v>12</v>
      </c>
      <c r="E222" s="8"/>
      <c r="F222" s="8"/>
      <c r="G222" s="9">
        <f t="shared" ref="G222:G223" si="19">PRODUCT(C222:F222)</f>
        <v>12</v>
      </c>
      <c r="H222" s="11" t="s">
        <v>30</v>
      </c>
      <c r="I222" s="18" t="s">
        <v>572</v>
      </c>
      <c r="J222" s="19"/>
    </row>
    <row r="223" spans="1:10">
      <c r="A223" s="13"/>
      <c r="B223" s="15" t="s">
        <v>191</v>
      </c>
      <c r="C223" s="7">
        <v>1</v>
      </c>
      <c r="D223" s="8">
        <v>1</v>
      </c>
      <c r="E223" s="8"/>
      <c r="F223" s="8"/>
      <c r="G223" s="9">
        <f t="shared" si="19"/>
        <v>1</v>
      </c>
      <c r="H223" s="11" t="s">
        <v>30</v>
      </c>
      <c r="I223" s="18" t="s">
        <v>571</v>
      </c>
      <c r="J223" s="19"/>
    </row>
    <row r="224" spans="1:10">
      <c r="A224" s="13"/>
      <c r="B224" s="15"/>
      <c r="C224" s="7"/>
      <c r="D224" s="8"/>
      <c r="E224" s="8"/>
      <c r="F224" s="8"/>
      <c r="G224" s="9"/>
      <c r="H224" s="11"/>
      <c r="I224" s="18"/>
      <c r="J224" s="19"/>
    </row>
    <row r="225" spans="1:10">
      <c r="A225" s="13"/>
      <c r="B225" s="50" t="s">
        <v>193</v>
      </c>
      <c r="C225" s="7">
        <v>1</v>
      </c>
      <c r="D225" s="8">
        <f>10.19+1.8+3.65+1.8+3*4.22+4.11+1.8+2.43+1.8+1.8</f>
        <v>42.039999999999992</v>
      </c>
      <c r="E225" s="8"/>
      <c r="F225" s="8"/>
      <c r="G225" s="9">
        <f t="shared" ref="G225:G227" si="20">PRODUCT(C225:F225)</f>
        <v>42.039999999999992</v>
      </c>
      <c r="H225" s="11"/>
      <c r="I225" s="18"/>
      <c r="J225" s="19"/>
    </row>
    <row r="226" spans="1:10">
      <c r="A226" s="13"/>
      <c r="B226" s="44"/>
      <c r="C226" s="7"/>
      <c r="D226" s="8"/>
      <c r="E226" s="8"/>
      <c r="F226" s="8"/>
      <c r="G226" s="9"/>
      <c r="H226" s="11"/>
      <c r="I226" s="18"/>
      <c r="J226" s="19"/>
    </row>
    <row r="227" spans="1:10">
      <c r="A227" s="13"/>
      <c r="B227" s="44" t="s">
        <v>194</v>
      </c>
      <c r="C227" s="7">
        <v>1</v>
      </c>
      <c r="D227" s="8">
        <v>6</v>
      </c>
      <c r="E227" s="8"/>
      <c r="F227" s="8"/>
      <c r="G227" s="9">
        <f t="shared" si="20"/>
        <v>6</v>
      </c>
      <c r="H227" s="11" t="s">
        <v>30</v>
      </c>
      <c r="I227" s="18" t="s">
        <v>571</v>
      </c>
      <c r="J227" s="19"/>
    </row>
    <row r="228" spans="1:10">
      <c r="A228" s="13"/>
      <c r="B228" s="50"/>
      <c r="C228" s="7"/>
      <c r="D228" s="8"/>
      <c r="E228" s="8"/>
      <c r="F228" s="8"/>
      <c r="G228" s="9"/>
      <c r="H228" s="11"/>
      <c r="I228" s="18"/>
      <c r="J228" s="19"/>
    </row>
    <row r="229" spans="1:10">
      <c r="A229" s="13"/>
      <c r="B229" s="44"/>
      <c r="C229" s="7"/>
      <c r="D229" s="8"/>
      <c r="E229" s="8"/>
      <c r="F229" s="8"/>
      <c r="G229" s="9"/>
      <c r="H229" s="11"/>
      <c r="I229" s="18"/>
      <c r="J229" s="19"/>
    </row>
  </sheetData>
  <mergeCells count="7">
    <mergeCell ref="B198:G198"/>
    <mergeCell ref="B216:G216"/>
    <mergeCell ref="B2:G2"/>
    <mergeCell ref="B27:G27"/>
    <mergeCell ref="B52:G52"/>
    <mergeCell ref="B135:G135"/>
    <mergeCell ref="B185:G185"/>
  </mergeCells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</vt:lpstr>
      <vt:lpstr>Presupuesto Noc Transporte</vt:lpstr>
      <vt:lpstr>EE +ARQ</vt:lpstr>
      <vt:lpstr>IIEE + IISS</vt:lpstr>
      <vt:lpstr>'EE +ARQ'!Área_de_impresión</vt:lpstr>
      <vt:lpstr>'IIEE + IISS'!Área_de_impresión</vt:lpstr>
      <vt:lpstr>'Presupuesto Noc Transporte'!Área_de_impresión</vt:lpstr>
      <vt:lpstr>'Presupuesto Noc Transporte'!Títulos_a_imprimir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Curisinche, Jim</dc:creator>
  <cp:lastModifiedBy>Master</cp:lastModifiedBy>
  <cp:lastPrinted>2017-07-06T12:42:40Z</cp:lastPrinted>
  <dcterms:created xsi:type="dcterms:W3CDTF">2016-04-27T19:26:12Z</dcterms:created>
  <dcterms:modified xsi:type="dcterms:W3CDTF">2020-01-07T14:34:56Z</dcterms:modified>
</cp:coreProperties>
</file>