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10\"/>
    </mc:Choice>
  </mc:AlternateContent>
  <xr:revisionPtr revIDLastSave="0" documentId="8_{AA91649E-BA15-4F61-B518-DC8B34C89EFA}" xr6:coauthVersionLast="47" xr6:coauthVersionMax="47" xr10:uidLastSave="{00000000-0000-0000-0000-000000000000}"/>
  <bookViews>
    <workbookView xWindow="-110" yWindow="-110" windowWidth="19420" windowHeight="11500" activeTab="1" xr2:uid="{774744D4-9B34-43E9-8B4B-3A4CC9BABFE7}"/>
  </bookViews>
  <sheets>
    <sheet name="Model" sheetId="2" r:id="rId1"/>
    <sheet name="Model 2.0" sheetId="3" r:id="rId2"/>
  </sheets>
  <definedNames>
    <definedName name="solver_adj" localSheetId="0" hidden="1">Model!$H$14:$H$37,Model!$Y$30</definedName>
    <definedName name="solver_adj" localSheetId="1" hidden="1">'Model 2.0'!$H$14:$H$37,'Model 2.0'!$Y$30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Model!$AD$14:$AD$20</definedName>
    <definedName name="solver_lhs1" localSheetId="1" hidden="1">'Model 2.0'!$AD$14:$AD$20</definedName>
    <definedName name="solver_lhs2" localSheetId="0" hidden="1">Model!$AE$24:$AE$27</definedName>
    <definedName name="solver_lhs2" localSheetId="1" hidden="1">'Model 2.0'!$AE$24:$AE$27</definedName>
    <definedName name="solver_lhs3" localSheetId="0" hidden="1">Model!$H$14:$H$37</definedName>
    <definedName name="solver_lhs3" localSheetId="1" hidden="1">'Model 2.0'!$H$14:$H$37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Model!$Y$30</definedName>
    <definedName name="solver_opt" localSheetId="1" hidden="1">'Model 2.0'!$Y$30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hs1" localSheetId="0" hidden="1">Model!$AE$14:$AE$20</definedName>
    <definedName name="solver_rhs1" localSheetId="1" hidden="1">'Model 2.0'!$AE$14:$AE$20</definedName>
    <definedName name="solver_rhs2" localSheetId="0" hidden="1">Model!$Y$30</definedName>
    <definedName name="solver_rhs2" localSheetId="1" hidden="1">'Model 2.0'!$Y$30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AD28" i="3" l="1"/>
  <c r="H38" i="3"/>
  <c r="U37" i="3"/>
  <c r="S37" i="3"/>
  <c r="L37" i="3"/>
  <c r="Q37" i="3" s="1"/>
  <c r="J37" i="3"/>
  <c r="O37" i="3" s="1"/>
  <c r="U36" i="3"/>
  <c r="S36" i="3"/>
  <c r="L36" i="3"/>
  <c r="Q36" i="3" s="1"/>
  <c r="J36" i="3"/>
  <c r="O36" i="3" s="1"/>
  <c r="U35" i="3"/>
  <c r="S35" i="3"/>
  <c r="L35" i="3"/>
  <c r="Q35" i="3" s="1"/>
  <c r="J35" i="3"/>
  <c r="O35" i="3" s="1"/>
  <c r="U34" i="3"/>
  <c r="S34" i="3"/>
  <c r="O34" i="3"/>
  <c r="N34" i="3"/>
  <c r="L34" i="3"/>
  <c r="Q34" i="3" s="1"/>
  <c r="J34" i="3"/>
  <c r="U33" i="3"/>
  <c r="S33" i="3"/>
  <c r="L33" i="3"/>
  <c r="Q33" i="3" s="1"/>
  <c r="J33" i="3"/>
  <c r="O33" i="3" s="1"/>
  <c r="U32" i="3"/>
  <c r="S32" i="3"/>
  <c r="L32" i="3"/>
  <c r="Q32" i="3" s="1"/>
  <c r="J32" i="3"/>
  <c r="O32" i="3" s="1"/>
  <c r="U31" i="3"/>
  <c r="S31" i="3"/>
  <c r="Q31" i="3"/>
  <c r="P31" i="3"/>
  <c r="L31" i="3"/>
  <c r="J31" i="3"/>
  <c r="O31" i="3" s="1"/>
  <c r="U30" i="3"/>
  <c r="S30" i="3"/>
  <c r="O30" i="3"/>
  <c r="N30" i="3"/>
  <c r="L30" i="3"/>
  <c r="Q30" i="3" s="1"/>
  <c r="J30" i="3"/>
  <c r="U29" i="3"/>
  <c r="S29" i="3"/>
  <c r="L29" i="3"/>
  <c r="Q29" i="3" s="1"/>
  <c r="J29" i="3"/>
  <c r="O29" i="3" s="1"/>
  <c r="U28" i="3"/>
  <c r="S28" i="3"/>
  <c r="L28" i="3"/>
  <c r="Q28" i="3" s="1"/>
  <c r="J28" i="3"/>
  <c r="O28" i="3" s="1"/>
  <c r="U27" i="3"/>
  <c r="S27" i="3"/>
  <c r="L27" i="3"/>
  <c r="P27" i="3" s="1"/>
  <c r="J27" i="3"/>
  <c r="O27" i="3" s="1"/>
  <c r="Z26" i="3"/>
  <c r="AB26" i="3" s="1"/>
  <c r="AC26" i="3" s="1"/>
  <c r="AE26" i="3" s="1"/>
  <c r="U26" i="3"/>
  <c r="S26" i="3"/>
  <c r="L26" i="3"/>
  <c r="Q26" i="3" s="1"/>
  <c r="J26" i="3"/>
  <c r="O26" i="3" s="1"/>
  <c r="U25" i="3"/>
  <c r="S25" i="3"/>
  <c r="L25" i="3"/>
  <c r="Q25" i="3" s="1"/>
  <c r="J25" i="3"/>
  <c r="O25" i="3" s="1"/>
  <c r="Z24" i="3"/>
  <c r="AB24" i="3" s="1"/>
  <c r="AC24" i="3" s="1"/>
  <c r="AE24" i="3" s="1"/>
  <c r="U24" i="3"/>
  <c r="S24" i="3"/>
  <c r="L24" i="3"/>
  <c r="Q24" i="3" s="1"/>
  <c r="J24" i="3"/>
  <c r="O24" i="3" s="1"/>
  <c r="U23" i="3"/>
  <c r="Z27" i="3" s="1"/>
  <c r="AB27" i="3" s="1"/>
  <c r="AC27" i="3" s="1"/>
  <c r="AE27" i="3" s="1"/>
  <c r="S23" i="3"/>
  <c r="L23" i="3"/>
  <c r="P23" i="3" s="1"/>
  <c r="J23" i="3"/>
  <c r="O23" i="3" s="1"/>
  <c r="U22" i="3"/>
  <c r="S22" i="3"/>
  <c r="U8" i="3" s="1"/>
  <c r="Q22" i="3"/>
  <c r="L22" i="3"/>
  <c r="P22" i="3" s="1"/>
  <c r="J22" i="3"/>
  <c r="O22" i="3" s="1"/>
  <c r="U21" i="3"/>
  <c r="S21" i="3"/>
  <c r="Q21" i="3"/>
  <c r="P21" i="3"/>
  <c r="L21" i="3"/>
  <c r="J21" i="3"/>
  <c r="O21" i="3" s="1"/>
  <c r="AC20" i="3"/>
  <c r="AB20" i="3"/>
  <c r="AD20" i="3" s="1"/>
  <c r="U20" i="3"/>
  <c r="S20" i="3"/>
  <c r="Q20" i="3"/>
  <c r="P20" i="3"/>
  <c r="R20" i="3" s="1"/>
  <c r="O20" i="3"/>
  <c r="N20" i="3"/>
  <c r="L20" i="3"/>
  <c r="J20" i="3"/>
  <c r="AC19" i="3"/>
  <c r="AB19" i="3"/>
  <c r="U19" i="3"/>
  <c r="S19" i="3"/>
  <c r="Q19" i="3"/>
  <c r="P19" i="3"/>
  <c r="R19" i="3" s="1"/>
  <c r="O19" i="3"/>
  <c r="N19" i="3"/>
  <c r="L19" i="3"/>
  <c r="J19" i="3"/>
  <c r="AC18" i="3"/>
  <c r="AB18" i="3"/>
  <c r="U18" i="3"/>
  <c r="S18" i="3"/>
  <c r="Q18" i="3"/>
  <c r="P18" i="3"/>
  <c r="R18" i="3" s="1"/>
  <c r="O18" i="3"/>
  <c r="N18" i="3"/>
  <c r="L18" i="3"/>
  <c r="J18" i="3"/>
  <c r="AC17" i="3"/>
  <c r="AB17" i="3"/>
  <c r="U17" i="3"/>
  <c r="S17" i="3"/>
  <c r="Q17" i="3"/>
  <c r="P17" i="3"/>
  <c r="R17" i="3" s="1"/>
  <c r="O17" i="3"/>
  <c r="N17" i="3"/>
  <c r="L17" i="3"/>
  <c r="J17" i="3"/>
  <c r="AC16" i="3"/>
  <c r="AB16" i="3"/>
  <c r="U16" i="3"/>
  <c r="S16" i="3"/>
  <c r="Q16" i="3"/>
  <c r="P16" i="3"/>
  <c r="R16" i="3" s="1"/>
  <c r="O16" i="3"/>
  <c r="N16" i="3"/>
  <c r="L16" i="3"/>
  <c r="J16" i="3"/>
  <c r="AC15" i="3"/>
  <c r="AB15" i="3"/>
  <c r="U15" i="3"/>
  <c r="S15" i="3"/>
  <c r="Q15" i="3"/>
  <c r="P15" i="3"/>
  <c r="R15" i="3" s="1"/>
  <c r="O15" i="3"/>
  <c r="N15" i="3"/>
  <c r="L15" i="3"/>
  <c r="J15" i="3"/>
  <c r="AC14" i="3"/>
  <c r="AB14" i="3"/>
  <c r="AD14" i="3" s="1"/>
  <c r="U14" i="3"/>
  <c r="U9" i="3" s="1"/>
  <c r="S14" i="3"/>
  <c r="Q14" i="3"/>
  <c r="P14" i="3"/>
  <c r="R14" i="3" s="1"/>
  <c r="O14" i="3"/>
  <c r="N14" i="3"/>
  <c r="L14" i="3"/>
  <c r="J14" i="3"/>
  <c r="U6" i="3"/>
  <c r="O2" i="3"/>
  <c r="Z26" i="2"/>
  <c r="AB26" i="2" s="1"/>
  <c r="AC26" i="2" s="1"/>
  <c r="AE26" i="2" s="1"/>
  <c r="Z25" i="2"/>
  <c r="H38" i="2"/>
  <c r="AD14" i="2"/>
  <c r="U14" i="2"/>
  <c r="U9" i="2"/>
  <c r="U8" i="2"/>
  <c r="AB24" i="2"/>
  <c r="U7" i="2"/>
  <c r="U6" i="2"/>
  <c r="Z24" i="2"/>
  <c r="AC24" i="2" s="1"/>
  <c r="AE24" i="2" s="1"/>
  <c r="AB25" i="2"/>
  <c r="AC25" i="2" s="1"/>
  <c r="AE25" i="2" s="1"/>
  <c r="U37" i="2"/>
  <c r="S37" i="2"/>
  <c r="L37" i="2"/>
  <c r="J37" i="2"/>
  <c r="U36" i="2"/>
  <c r="S36" i="2"/>
  <c r="L36" i="2"/>
  <c r="Q36" i="2" s="1"/>
  <c r="J36" i="2"/>
  <c r="O36" i="2" s="1"/>
  <c r="U35" i="2"/>
  <c r="S35" i="2"/>
  <c r="R35" i="2"/>
  <c r="Q35" i="2"/>
  <c r="P35" i="2"/>
  <c r="O35" i="2"/>
  <c r="L35" i="2"/>
  <c r="J35" i="2"/>
  <c r="N35" i="2" s="1"/>
  <c r="U34" i="2"/>
  <c r="S34" i="2"/>
  <c r="L34" i="2"/>
  <c r="Q34" i="2" s="1"/>
  <c r="J34" i="2"/>
  <c r="O34" i="2" s="1"/>
  <c r="U33" i="2"/>
  <c r="S33" i="2"/>
  <c r="L33" i="2"/>
  <c r="J33" i="2"/>
  <c r="U32" i="2"/>
  <c r="S32" i="2"/>
  <c r="L32" i="2"/>
  <c r="Q32" i="2" s="1"/>
  <c r="J32" i="2"/>
  <c r="O32" i="2" s="1"/>
  <c r="U31" i="2"/>
  <c r="S31" i="2"/>
  <c r="R31" i="2"/>
  <c r="Q31" i="2"/>
  <c r="P31" i="2"/>
  <c r="O31" i="2"/>
  <c r="L31" i="2"/>
  <c r="J31" i="2"/>
  <c r="N31" i="2" s="1"/>
  <c r="U30" i="2"/>
  <c r="S30" i="2"/>
  <c r="L30" i="2"/>
  <c r="Q30" i="2" s="1"/>
  <c r="J30" i="2"/>
  <c r="O30" i="2" s="1"/>
  <c r="U29" i="2"/>
  <c r="S29" i="2"/>
  <c r="L29" i="2"/>
  <c r="J29" i="2"/>
  <c r="U28" i="2"/>
  <c r="S28" i="2"/>
  <c r="L28" i="2"/>
  <c r="Q28" i="2" s="1"/>
  <c r="J28" i="2"/>
  <c r="O28" i="2" s="1"/>
  <c r="U27" i="2"/>
  <c r="S27" i="2"/>
  <c r="L27" i="2"/>
  <c r="Q27" i="2" s="1"/>
  <c r="J27" i="2"/>
  <c r="O27" i="2" s="1"/>
  <c r="U26" i="2"/>
  <c r="S26" i="2"/>
  <c r="L26" i="2"/>
  <c r="Q26" i="2" s="1"/>
  <c r="J26" i="2"/>
  <c r="O26" i="2" s="1"/>
  <c r="U25" i="2"/>
  <c r="S25" i="2"/>
  <c r="L25" i="2"/>
  <c r="Q25" i="2" s="1"/>
  <c r="J25" i="2"/>
  <c r="O25" i="2" s="1"/>
  <c r="U24" i="2"/>
  <c r="S24" i="2"/>
  <c r="L24" i="2"/>
  <c r="Q24" i="2" s="1"/>
  <c r="J24" i="2"/>
  <c r="O24" i="2" s="1"/>
  <c r="U23" i="2"/>
  <c r="S23" i="2"/>
  <c r="Q23" i="2"/>
  <c r="P23" i="2"/>
  <c r="R23" i="2" s="1"/>
  <c r="O23" i="2"/>
  <c r="L23" i="2"/>
  <c r="J23" i="2"/>
  <c r="N23" i="2" s="1"/>
  <c r="U22" i="2"/>
  <c r="S22" i="2"/>
  <c r="L22" i="2"/>
  <c r="Q22" i="2" s="1"/>
  <c r="J22" i="2"/>
  <c r="O22" i="2" s="1"/>
  <c r="U21" i="2"/>
  <c r="S21" i="2"/>
  <c r="L21" i="2"/>
  <c r="J21" i="2"/>
  <c r="O21" i="2" s="1"/>
  <c r="AC20" i="2"/>
  <c r="AB20" i="2"/>
  <c r="U20" i="2"/>
  <c r="S20" i="2"/>
  <c r="L20" i="2"/>
  <c r="J20" i="2"/>
  <c r="O20" i="2" s="1"/>
  <c r="AC19" i="2"/>
  <c r="AB19" i="2"/>
  <c r="U19" i="2"/>
  <c r="S19" i="2"/>
  <c r="L19" i="2"/>
  <c r="J19" i="2"/>
  <c r="O19" i="2" s="1"/>
  <c r="AC18" i="2"/>
  <c r="AB18" i="2"/>
  <c r="U18" i="2"/>
  <c r="S18" i="2"/>
  <c r="L18" i="2"/>
  <c r="J18" i="2"/>
  <c r="O18" i="2" s="1"/>
  <c r="AC17" i="2"/>
  <c r="AB17" i="2"/>
  <c r="U17" i="2"/>
  <c r="S17" i="2"/>
  <c r="L17" i="2"/>
  <c r="J17" i="2"/>
  <c r="O17" i="2" s="1"/>
  <c r="AC16" i="2"/>
  <c r="AB16" i="2"/>
  <c r="U16" i="2"/>
  <c r="S16" i="2"/>
  <c r="L16" i="2"/>
  <c r="J16" i="2"/>
  <c r="O16" i="2" s="1"/>
  <c r="AC15" i="2"/>
  <c r="AB15" i="2"/>
  <c r="U15" i="2"/>
  <c r="S15" i="2"/>
  <c r="L15" i="2"/>
  <c r="J15" i="2"/>
  <c r="O15" i="2" s="1"/>
  <c r="AC14" i="2"/>
  <c r="AB14" i="2"/>
  <c r="S14" i="2"/>
  <c r="L14" i="2"/>
  <c r="J14" i="2"/>
  <c r="O14" i="2" s="1"/>
  <c r="O2" i="2"/>
  <c r="AD18" i="3" l="1"/>
  <c r="AD15" i="3"/>
  <c r="AD19" i="3"/>
  <c r="AD17" i="3"/>
  <c r="AD16" i="3"/>
  <c r="R23" i="3"/>
  <c r="R31" i="3"/>
  <c r="P35" i="3"/>
  <c r="N37" i="3"/>
  <c r="N24" i="3"/>
  <c r="P30" i="3"/>
  <c r="R30" i="3" s="1"/>
  <c r="P34" i="3"/>
  <c r="R34" i="3" s="1"/>
  <c r="N25" i="3"/>
  <c r="N29" i="3"/>
  <c r="N33" i="3"/>
  <c r="P24" i="3"/>
  <c r="R24" i="3" s="1"/>
  <c r="N26" i="3"/>
  <c r="N23" i="3"/>
  <c r="P25" i="3"/>
  <c r="N27" i="3"/>
  <c r="R27" i="3" s="1"/>
  <c r="P29" i="3"/>
  <c r="P33" i="3"/>
  <c r="P37" i="3"/>
  <c r="R37" i="3" s="1"/>
  <c r="P26" i="3"/>
  <c r="N28" i="3"/>
  <c r="N32" i="3"/>
  <c r="N36" i="3"/>
  <c r="N21" i="3"/>
  <c r="R21" i="3" s="1"/>
  <c r="N22" i="3"/>
  <c r="R22" i="3" s="1"/>
  <c r="Q23" i="3"/>
  <c r="Q27" i="3"/>
  <c r="P28" i="3"/>
  <c r="P32" i="3"/>
  <c r="P36" i="3"/>
  <c r="N31" i="3"/>
  <c r="N35" i="3"/>
  <c r="Z27" i="2"/>
  <c r="AD17" i="2"/>
  <c r="AD15" i="2"/>
  <c r="AD16" i="2"/>
  <c r="AD18" i="2"/>
  <c r="AD20" i="2"/>
  <c r="AD19" i="2"/>
  <c r="Q15" i="2"/>
  <c r="P15" i="2"/>
  <c r="Q18" i="2"/>
  <c r="P18" i="2"/>
  <c r="Q21" i="2"/>
  <c r="P21" i="2"/>
  <c r="N15" i="2"/>
  <c r="N21" i="2"/>
  <c r="N30" i="2"/>
  <c r="N34" i="2"/>
  <c r="N18" i="2"/>
  <c r="P30" i="2"/>
  <c r="R30" i="2" s="1"/>
  <c r="P34" i="2"/>
  <c r="Q14" i="2"/>
  <c r="P14" i="2"/>
  <c r="Q17" i="2"/>
  <c r="P17" i="2"/>
  <c r="Q20" i="2"/>
  <c r="P20" i="2"/>
  <c r="N14" i="2"/>
  <c r="N17" i="2"/>
  <c r="N20" i="2"/>
  <c r="N22" i="2"/>
  <c r="O29" i="2"/>
  <c r="N29" i="2"/>
  <c r="O33" i="2"/>
  <c r="N33" i="2"/>
  <c r="O37" i="2"/>
  <c r="N37" i="2"/>
  <c r="Q16" i="2"/>
  <c r="P16" i="2"/>
  <c r="R16" i="2" s="1"/>
  <c r="Q19" i="2"/>
  <c r="P19" i="2"/>
  <c r="R19" i="2" s="1"/>
  <c r="P22" i="2"/>
  <c r="Q29" i="2"/>
  <c r="P29" i="2"/>
  <c r="R29" i="2" s="1"/>
  <c r="Q33" i="2"/>
  <c r="P33" i="2"/>
  <c r="Q37" i="2"/>
  <c r="P37" i="2"/>
  <c r="N16" i="2"/>
  <c r="N19" i="2"/>
  <c r="N24" i="2"/>
  <c r="N25" i="2"/>
  <c r="N26" i="2"/>
  <c r="N27" i="2"/>
  <c r="N28" i="2"/>
  <c r="N32" i="2"/>
  <c r="N36" i="2"/>
  <c r="P24" i="2"/>
  <c r="P25" i="2"/>
  <c r="P26" i="2"/>
  <c r="P27" i="2"/>
  <c r="P28" i="2"/>
  <c r="P32" i="2"/>
  <c r="P36" i="2"/>
  <c r="R36" i="2" s="1"/>
  <c r="R35" i="3" l="1"/>
  <c r="R25" i="3"/>
  <c r="R26" i="3"/>
  <c r="R36" i="3"/>
  <c r="R33" i="3"/>
  <c r="R32" i="3"/>
  <c r="R29" i="3"/>
  <c r="Z25" i="3" s="1"/>
  <c r="AB25" i="3" s="1"/>
  <c r="AC25" i="3" s="1"/>
  <c r="AE25" i="3" s="1"/>
  <c r="R28" i="3"/>
  <c r="AB27" i="2"/>
  <c r="AC27" i="2" s="1"/>
  <c r="AE27" i="2" s="1"/>
  <c r="R28" i="2"/>
  <c r="R17" i="2"/>
  <c r="R22" i="2"/>
  <c r="R32" i="2"/>
  <c r="R20" i="2"/>
  <c r="R27" i="2"/>
  <c r="R25" i="2"/>
  <c r="R21" i="2"/>
  <c r="R26" i="2"/>
  <c r="R37" i="2"/>
  <c r="R18" i="2"/>
  <c r="R14" i="2"/>
  <c r="R24" i="2"/>
  <c r="R33" i="2"/>
  <c r="R15" i="2"/>
  <c r="R34" i="2"/>
  <c r="U7" i="3" l="1"/>
</calcChain>
</file>

<file path=xl/sharedStrings.xml><?xml version="1.0" encoding="utf-8"?>
<sst xmlns="http://schemas.openxmlformats.org/spreadsheetml/2006/main" count="226" uniqueCount="55">
  <si>
    <t>Air Freight</t>
  </si>
  <si>
    <t>Wind-powered Ships</t>
  </si>
  <si>
    <t>Diesel Trucks</t>
  </si>
  <si>
    <t>Diesel Rail</t>
  </si>
  <si>
    <t>Electrified Rail</t>
  </si>
  <si>
    <t>Electric/Hybrid Trucks</t>
  </si>
  <si>
    <t>Cargo Ships (Heavy Fuel Oil)</t>
  </si>
  <si>
    <t>Choco Volcano</t>
  </si>
  <si>
    <t>Cocoa Bean Crater</t>
  </si>
  <si>
    <t>Gooey Ganache Grotto</t>
  </si>
  <si>
    <t>Honeysuckle Hollow</t>
  </si>
  <si>
    <t>Malted Milk Manor</t>
  </si>
  <si>
    <t>Peppermint Peninsula</t>
  </si>
  <si>
    <t>Rainbow Ribbon Roads</t>
  </si>
  <si>
    <t>From</t>
  </si>
  <si>
    <t>To</t>
  </si>
  <si>
    <t>Location Name</t>
  </si>
  <si>
    <t>Latitude</t>
  </si>
  <si>
    <t>Longitude</t>
  </si>
  <si>
    <t>Supply</t>
  </si>
  <si>
    <t>Demand</t>
  </si>
  <si>
    <t>Location ID</t>
  </si>
  <si>
    <t>Congestion Level</t>
  </si>
  <si>
    <t>Transportation Method</t>
  </si>
  <si>
    <t>Cost per Unit Shipped</t>
  </si>
  <si>
    <t>Ship</t>
  </si>
  <si>
    <t>Unit Cost</t>
  </si>
  <si>
    <t>Nodes</t>
  </si>
  <si>
    <t>Inflow</t>
  </si>
  <si>
    <t>Outflow</t>
  </si>
  <si>
    <t>Net Flow</t>
  </si>
  <si>
    <t>Supply/Demand</t>
  </si>
  <si>
    <t>Total Demand</t>
  </si>
  <si>
    <t>Total Transportation Cost --&gt;</t>
  </si>
  <si>
    <t>Total Distance Traveled --&gt;</t>
  </si>
  <si>
    <t>Euclidian</t>
  </si>
  <si>
    <t>Latitude (T)</t>
  </si>
  <si>
    <t>Longitude (T)</t>
  </si>
  <si>
    <t>Latitude (F)</t>
  </si>
  <si>
    <t>Longitude (F)</t>
  </si>
  <si>
    <t>Eco-Friendliness --&gt;</t>
  </si>
  <si>
    <t>Objectives</t>
  </si>
  <si>
    <t>ECO Binary</t>
  </si>
  <si>
    <t>Target Value</t>
  </si>
  <si>
    <t>Totals</t>
  </si>
  <si>
    <t>Deviation</t>
  </si>
  <si>
    <t>% Deviation</t>
  </si>
  <si>
    <t>Weight</t>
  </si>
  <si>
    <t>Weighted % Deviation</t>
  </si>
  <si>
    <t>Congestion Binary</t>
  </si>
  <si>
    <t xml:space="preserve">High Congestion ≥ 70 </t>
  </si>
  <si>
    <t>Objective</t>
  </si>
  <si>
    <t>MiniMax Variable</t>
  </si>
  <si>
    <t>Total --&gt;</t>
  </si>
  <si>
    <t>Congestion Level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</si>
</sst>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  <numFmt numFmtId="171" formatCode="&quot;$&quot;#,##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0"/>
      <color rgb="FF1F1F1F"/>
      <name val="Arial"/>
      <family val="2"/>
    </font>
    <font>
      <b/>
      <sz val="10"/>
      <color rgb="FF1F1F1F"/>
      <name val="Arial"/>
      <family val="2"/>
    </font>
    <font>
      <b/>
      <sz val="11"/>
      <color theme="4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36" borderId="13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35" borderId="26" xfId="0" applyFont="1" applyFill="1" applyBorder="1" applyAlignment="1">
      <alignment horizontal="center"/>
    </xf>
    <xf numFmtId="0" fontId="16" fillId="35" borderId="27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6" fillId="34" borderId="25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7" borderId="25" xfId="0" applyFont="1" applyFill="1" applyBorder="1" applyAlignment="1">
      <alignment horizontal="center"/>
    </xf>
    <xf numFmtId="0" fontId="16" fillId="39" borderId="25" xfId="0" applyFont="1" applyFill="1" applyBorder="1" applyAlignment="1">
      <alignment horizontal="center"/>
    </xf>
    <xf numFmtId="0" fontId="16" fillId="38" borderId="2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6" fillId="40" borderId="32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41" borderId="18" xfId="0" applyFill="1" applyBorder="1"/>
    <xf numFmtId="0" fontId="16" fillId="0" borderId="0" xfId="0" applyFont="1" applyAlignment="1"/>
    <xf numFmtId="0" fontId="16" fillId="43" borderId="0" xfId="0" applyFont="1" applyFill="1" applyAlignment="1">
      <alignment horizontal="center"/>
    </xf>
    <xf numFmtId="0" fontId="16" fillId="42" borderId="32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171" fontId="0" fillId="0" borderId="35" xfId="1" applyNumberFormat="1" applyFont="1" applyBorder="1"/>
    <xf numFmtId="171" fontId="0" fillId="0" borderId="36" xfId="1" applyNumberFormat="1" applyFont="1" applyBorder="1"/>
    <xf numFmtId="171" fontId="0" fillId="0" borderId="36" xfId="0" applyNumberFormat="1" applyBorder="1"/>
    <xf numFmtId="171" fontId="0" fillId="0" borderId="37" xfId="0" applyNumberFormat="1" applyBorder="1"/>
    <xf numFmtId="0" fontId="0" fillId="0" borderId="36" xfId="0" applyBorder="1"/>
    <xf numFmtId="0" fontId="0" fillId="0" borderId="37" xfId="0" applyBorder="1"/>
    <xf numFmtId="0" fontId="16" fillId="0" borderId="0" xfId="0" applyFont="1" applyBorder="1" applyAlignment="1">
      <alignment horizontal="right"/>
    </xf>
    <xf numFmtId="167" fontId="0" fillId="0" borderId="0" xfId="0" applyNumberFormat="1"/>
    <xf numFmtId="10" fontId="0" fillId="0" borderId="0" xfId="2" applyNumberFormat="1" applyFont="1"/>
    <xf numFmtId="10" fontId="20" fillId="33" borderId="0" xfId="2" applyNumberFormat="1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16" fillId="44" borderId="10" xfId="0" applyFont="1" applyFill="1" applyBorder="1"/>
    <xf numFmtId="0" fontId="16" fillId="44" borderId="25" xfId="0" applyFont="1" applyFill="1" applyBorder="1"/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35" xfId="0" applyBorder="1"/>
    <xf numFmtId="1" fontId="16" fillId="0" borderId="0" xfId="0" applyNumberFormat="1" applyFont="1"/>
    <xf numFmtId="164" fontId="16" fillId="0" borderId="0" xfId="1" applyNumberFormat="1" applyFont="1"/>
    <xf numFmtId="1" fontId="16" fillId="0" borderId="0" xfId="1" applyNumberFormat="1" applyFont="1"/>
    <xf numFmtId="2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2" fontId="23" fillId="33" borderId="0" xfId="0" applyNumberFormat="1" applyFont="1" applyFill="1" applyAlignment="1">
      <alignment horizontal="center"/>
    </xf>
    <xf numFmtId="44" fontId="19" fillId="42" borderId="0" xfId="1" applyFont="1" applyFill="1" applyBorder="1" applyAlignment="1"/>
    <xf numFmtId="2" fontId="19" fillId="42" borderId="0" xfId="1" applyNumberFormat="1" applyFont="1" applyFill="1" applyBorder="1" applyAlignment="1"/>
    <xf numFmtId="1" fontId="18" fillId="0" borderId="28" xfId="0" applyNumberFormat="1" applyFont="1" applyBorder="1" applyAlignment="1">
      <alignment horizontal="center"/>
    </xf>
    <xf numFmtId="1" fontId="18" fillId="0" borderId="29" xfId="0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5535-26D5-4CBE-95E7-167374F90FCE}">
  <dimension ref="A1:AE38"/>
  <sheetViews>
    <sheetView topLeftCell="X6" zoomScale="65" zoomScaleNormal="55" workbookViewId="0">
      <selection activeCell="G28" sqref="G28"/>
    </sheetView>
  </sheetViews>
  <sheetFormatPr defaultRowHeight="14.5" x14ac:dyDescent="0.35"/>
  <cols>
    <col min="3" max="3" width="19.90625" bestFit="1" customWidth="1"/>
    <col min="4" max="4" width="27.1796875" customWidth="1"/>
    <col min="5" max="5" width="14.90625" bestFit="1" customWidth="1"/>
    <col min="6" max="6" width="18.7265625" bestFit="1" customWidth="1"/>
    <col min="8" max="8" width="9.6328125" bestFit="1" customWidth="1"/>
    <col min="9" max="9" width="10.453125" bestFit="1" customWidth="1"/>
    <col min="10" max="10" width="20.08984375" bestFit="1" customWidth="1"/>
    <col min="12" max="12" width="19.54296875" bestFit="1" customWidth="1"/>
    <col min="13" max="13" width="24.1796875" bestFit="1" customWidth="1"/>
    <col min="14" max="14" width="24.1796875" customWidth="1"/>
    <col min="15" max="15" width="22" customWidth="1"/>
    <col min="16" max="17" width="12.6328125" bestFit="1" customWidth="1"/>
    <col min="18" max="18" width="12.54296875" customWidth="1"/>
    <col min="19" max="19" width="12.6328125" customWidth="1"/>
    <col min="20" max="20" width="16.453125" customWidth="1"/>
    <col min="21" max="21" width="22.54296875" customWidth="1"/>
    <col min="22" max="22" width="13.54296875" customWidth="1"/>
    <col min="23" max="23" width="19.81640625" bestFit="1" customWidth="1"/>
    <col min="24" max="24" width="16.36328125" bestFit="1" customWidth="1"/>
    <col min="25" max="25" width="19.81640625" bestFit="1" customWidth="1"/>
    <col min="26" max="27" width="14.54296875" bestFit="1" customWidth="1"/>
    <col min="28" max="28" width="11.1796875" bestFit="1" customWidth="1"/>
    <col min="29" max="29" width="11.7265625" customWidth="1"/>
    <col min="31" max="31" width="21.26953125" customWidth="1"/>
  </cols>
  <sheetData>
    <row r="1" spans="1:31" x14ac:dyDescent="0.35">
      <c r="A1" s="1" t="s">
        <v>14</v>
      </c>
      <c r="B1" s="1" t="s">
        <v>15</v>
      </c>
      <c r="C1" s="1" t="s">
        <v>24</v>
      </c>
      <c r="D1" s="1" t="s">
        <v>23</v>
      </c>
      <c r="E1" s="1" t="s">
        <v>22</v>
      </c>
      <c r="F1" s="1" t="s">
        <v>50</v>
      </c>
      <c r="I1" s="1" t="s">
        <v>21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32</v>
      </c>
      <c r="R1" s="1"/>
      <c r="S1" s="1"/>
      <c r="T1" s="1"/>
      <c r="U1" s="1"/>
    </row>
    <row r="2" spans="1:31" x14ac:dyDescent="0.35">
      <c r="A2">
        <v>1</v>
      </c>
      <c r="B2">
        <v>2</v>
      </c>
      <c r="C2">
        <v>13</v>
      </c>
      <c r="D2" t="s">
        <v>0</v>
      </c>
      <c r="E2">
        <v>103</v>
      </c>
      <c r="F2" s="25">
        <v>70</v>
      </c>
      <c r="G2" s="50"/>
      <c r="I2">
        <v>1</v>
      </c>
      <c r="J2" t="s">
        <v>7</v>
      </c>
      <c r="K2" s="55">
        <v>37.5</v>
      </c>
      <c r="L2" s="55">
        <v>-102.5</v>
      </c>
      <c r="M2">
        <v>8898</v>
      </c>
      <c r="O2">
        <f>SUM(N3:N8)</f>
        <v>8898</v>
      </c>
    </row>
    <row r="3" spans="1:31" x14ac:dyDescent="0.35">
      <c r="A3">
        <v>1</v>
      </c>
      <c r="B3">
        <v>5</v>
      </c>
      <c r="C3">
        <v>6</v>
      </c>
      <c r="D3" t="s">
        <v>0</v>
      </c>
      <c r="E3">
        <v>83</v>
      </c>
      <c r="F3" s="49"/>
      <c r="I3">
        <v>2</v>
      </c>
      <c r="J3" t="s">
        <v>8</v>
      </c>
      <c r="K3" s="55">
        <v>34.4</v>
      </c>
      <c r="L3" s="55">
        <v>-95.88</v>
      </c>
      <c r="N3">
        <v>1717</v>
      </c>
    </row>
    <row r="4" spans="1:31" x14ac:dyDescent="0.35">
      <c r="A4">
        <v>1</v>
      </c>
      <c r="B4">
        <v>6</v>
      </c>
      <c r="C4">
        <v>8</v>
      </c>
      <c r="D4" t="s">
        <v>1</v>
      </c>
      <c r="E4">
        <v>31</v>
      </c>
      <c r="I4">
        <v>3</v>
      </c>
      <c r="J4" t="s">
        <v>9</v>
      </c>
      <c r="K4" s="55">
        <v>33.020000000000003</v>
      </c>
      <c r="L4" s="55">
        <v>-112.55</v>
      </c>
      <c r="N4">
        <v>1453</v>
      </c>
    </row>
    <row r="5" spans="1:31" x14ac:dyDescent="0.35">
      <c r="A5">
        <v>1</v>
      </c>
      <c r="B5">
        <v>7</v>
      </c>
      <c r="C5">
        <v>10</v>
      </c>
      <c r="D5" t="s">
        <v>2</v>
      </c>
      <c r="E5">
        <v>87</v>
      </c>
      <c r="I5">
        <v>4</v>
      </c>
      <c r="J5" t="s">
        <v>10</v>
      </c>
      <c r="K5" s="55">
        <v>34.119999999999997</v>
      </c>
      <c r="L5" s="55">
        <v>-100.14</v>
      </c>
      <c r="N5">
        <v>1462</v>
      </c>
    </row>
    <row r="6" spans="1:31" x14ac:dyDescent="0.35">
      <c r="A6">
        <v>2</v>
      </c>
      <c r="B6">
        <v>1</v>
      </c>
      <c r="C6">
        <v>8</v>
      </c>
      <c r="D6" t="s">
        <v>0</v>
      </c>
      <c r="E6">
        <v>100</v>
      </c>
      <c r="I6">
        <v>5</v>
      </c>
      <c r="J6" t="s">
        <v>11</v>
      </c>
      <c r="K6" s="55">
        <v>39.86</v>
      </c>
      <c r="L6" s="55">
        <v>-105.08</v>
      </c>
      <c r="N6">
        <v>1200</v>
      </c>
      <c r="R6" s="41" t="s">
        <v>33</v>
      </c>
      <c r="S6" s="41"/>
      <c r="T6" s="41"/>
      <c r="U6" s="59">
        <f>SUMPRODUCT(H14:H37,V14:V37)</f>
        <v>134850.33610039463</v>
      </c>
    </row>
    <row r="7" spans="1:31" x14ac:dyDescent="0.35">
      <c r="A7">
        <v>2</v>
      </c>
      <c r="B7">
        <v>5</v>
      </c>
      <c r="C7">
        <v>20</v>
      </c>
      <c r="D7" t="s">
        <v>3</v>
      </c>
      <c r="E7">
        <v>105</v>
      </c>
      <c r="I7">
        <v>6</v>
      </c>
      <c r="J7" t="s">
        <v>12</v>
      </c>
      <c r="K7" s="55">
        <v>40.81</v>
      </c>
      <c r="L7" s="55">
        <v>-110.66</v>
      </c>
      <c r="N7">
        <v>1549</v>
      </c>
      <c r="R7" s="41" t="s">
        <v>34</v>
      </c>
      <c r="S7" s="41"/>
      <c r="T7" s="41"/>
      <c r="U7" s="60">
        <f>SUMPRODUCT(H14:H37,R14:R37)</f>
        <v>99205.453123307729</v>
      </c>
    </row>
    <row r="8" spans="1:31" x14ac:dyDescent="0.35">
      <c r="A8">
        <v>3</v>
      </c>
      <c r="B8">
        <v>2</v>
      </c>
      <c r="C8">
        <v>9</v>
      </c>
      <c r="D8" t="s">
        <v>0</v>
      </c>
      <c r="E8">
        <v>83</v>
      </c>
      <c r="I8">
        <v>7</v>
      </c>
      <c r="J8" t="s">
        <v>13</v>
      </c>
      <c r="K8" s="55">
        <v>38.06</v>
      </c>
      <c r="L8" s="55">
        <v>-108.82</v>
      </c>
      <c r="N8">
        <v>1517</v>
      </c>
      <c r="R8" s="41" t="s">
        <v>40</v>
      </c>
      <c r="S8" s="41"/>
      <c r="T8" s="41"/>
      <c r="U8" s="60">
        <f>SUMPRODUCT(H14:H37,S14:S37)</f>
        <v>6566.3332468626677</v>
      </c>
    </row>
    <row r="9" spans="1:31" x14ac:dyDescent="0.35">
      <c r="A9">
        <v>3</v>
      </c>
      <c r="B9">
        <v>5</v>
      </c>
      <c r="C9">
        <v>16</v>
      </c>
      <c r="D9" t="s">
        <v>4</v>
      </c>
      <c r="E9">
        <v>92</v>
      </c>
      <c r="R9" s="41" t="s">
        <v>54</v>
      </c>
      <c r="S9" s="41"/>
      <c r="T9" s="41"/>
      <c r="U9" s="60">
        <f>SUMPRODUCT(H14:H37,U14:U37)</f>
        <v>9602.6667531373314</v>
      </c>
    </row>
    <row r="10" spans="1:31" x14ac:dyDescent="0.35">
      <c r="A10">
        <v>3</v>
      </c>
      <c r="B10">
        <v>7</v>
      </c>
      <c r="C10">
        <v>13</v>
      </c>
      <c r="D10" t="s">
        <v>3</v>
      </c>
      <c r="E10">
        <v>29</v>
      </c>
      <c r="L10" s="31"/>
      <c r="M10" s="31"/>
      <c r="N10" s="31"/>
      <c r="O10" s="31"/>
    </row>
    <row r="11" spans="1:31" x14ac:dyDescent="0.35">
      <c r="A11">
        <v>4</v>
      </c>
      <c r="B11">
        <v>1</v>
      </c>
      <c r="C11">
        <v>19</v>
      </c>
      <c r="D11" t="s">
        <v>5</v>
      </c>
      <c r="E11">
        <v>28</v>
      </c>
    </row>
    <row r="12" spans="1:31" ht="15" thickBot="1" x14ac:dyDescent="0.4">
      <c r="A12">
        <v>4</v>
      </c>
      <c r="B12">
        <v>2</v>
      </c>
      <c r="C12">
        <v>23</v>
      </c>
      <c r="D12" t="s">
        <v>6</v>
      </c>
      <c r="E12">
        <v>87</v>
      </c>
    </row>
    <row r="13" spans="1:31" ht="15" thickBot="1" x14ac:dyDescent="0.4">
      <c r="A13">
        <v>4</v>
      </c>
      <c r="B13">
        <v>3</v>
      </c>
      <c r="C13">
        <v>14</v>
      </c>
      <c r="D13" t="s">
        <v>2</v>
      </c>
      <c r="E13">
        <v>20</v>
      </c>
      <c r="H13" s="45" t="s">
        <v>25</v>
      </c>
      <c r="I13" s="46" t="s">
        <v>14</v>
      </c>
      <c r="J13" s="19"/>
      <c r="K13" s="20" t="s">
        <v>15</v>
      </c>
      <c r="L13" s="20"/>
      <c r="M13" s="21" t="s">
        <v>23</v>
      </c>
      <c r="N13" s="23" t="s">
        <v>38</v>
      </c>
      <c r="O13" s="23" t="s">
        <v>39</v>
      </c>
      <c r="P13" s="22" t="s">
        <v>36</v>
      </c>
      <c r="Q13" s="22" t="s">
        <v>37</v>
      </c>
      <c r="R13" s="27" t="s">
        <v>35</v>
      </c>
      <c r="S13" s="33" t="s">
        <v>42</v>
      </c>
      <c r="T13" s="47" t="s">
        <v>22</v>
      </c>
      <c r="U13" s="48" t="s">
        <v>49</v>
      </c>
      <c r="V13" s="34" t="s">
        <v>26</v>
      </c>
      <c r="X13" s="15" t="s">
        <v>27</v>
      </c>
      <c r="Y13" s="16"/>
      <c r="Z13" s="4" t="s">
        <v>17</v>
      </c>
      <c r="AA13" s="4" t="s">
        <v>18</v>
      </c>
      <c r="AB13" s="4" t="s">
        <v>28</v>
      </c>
      <c r="AC13" s="4" t="s">
        <v>29</v>
      </c>
      <c r="AD13" s="4" t="s">
        <v>30</v>
      </c>
      <c r="AE13" s="3" t="s">
        <v>31</v>
      </c>
    </row>
    <row r="14" spans="1:31" x14ac:dyDescent="0.35">
      <c r="A14">
        <v>4</v>
      </c>
      <c r="B14">
        <v>6</v>
      </c>
      <c r="C14">
        <v>5</v>
      </c>
      <c r="D14" t="s">
        <v>1</v>
      </c>
      <c r="E14">
        <v>77</v>
      </c>
      <c r="H14" s="61">
        <v>1717</v>
      </c>
      <c r="I14" s="6">
        <v>1</v>
      </c>
      <c r="J14" s="5" t="str">
        <f>VLOOKUP(I14,$X$14:$Y$20,2,0)</f>
        <v>Choco Volcano</v>
      </c>
      <c r="K14" s="5">
        <v>2</v>
      </c>
      <c r="L14" s="5" t="str">
        <f>_xlfn.XLOOKUP(K14,$X$14:$X$20,$Y$14:$Y$20)</f>
        <v>Cocoa Bean Crater</v>
      </c>
      <c r="M14" s="5" t="s">
        <v>0</v>
      </c>
      <c r="N14" s="5">
        <f>_xlfn.XLOOKUP(J14,$Y$14:$Y$20,$Z$14:$Z$20)</f>
        <v>37.5</v>
      </c>
      <c r="O14" s="5">
        <f>_xlfn.XLOOKUP(J14,$Y$14:$Y$20,$AA$14:$AA$20)</f>
        <v>-102.5</v>
      </c>
      <c r="P14" s="5">
        <f>_xlfn.XLOOKUP(L14,$Y$14:$Y$20,$Z$14:$Z$20)</f>
        <v>34.4</v>
      </c>
      <c r="Q14" s="5">
        <f>_xlfn.XLOOKUP(L14,$Y$14:$Y$20,$AA$14:$AA$20)</f>
        <v>-95.88</v>
      </c>
      <c r="R14" s="14">
        <f>SQRT((P14-N14)^2+(Q14-O14)^2)</f>
        <v>7.3098837200054056</v>
      </c>
      <c r="S14" s="5">
        <f>IF(OR(M14="Wind-powered Ships", M14="Electrified Rail", M14="Electric/Hybrid Trucks"), 0, 1)</f>
        <v>1</v>
      </c>
      <c r="T14" s="51">
        <v>103</v>
      </c>
      <c r="U14" s="5">
        <f>IF(OR(T14&gt;=$F$2), 1, 0)</f>
        <v>1</v>
      </c>
      <c r="V14" s="35">
        <v>13</v>
      </c>
      <c r="X14" s="6">
        <v>1</v>
      </c>
      <c r="Y14" s="5" t="s">
        <v>7</v>
      </c>
      <c r="Z14" s="5">
        <v>37.5</v>
      </c>
      <c r="AA14" s="5">
        <v>-102.5</v>
      </c>
      <c r="AB14" s="5">
        <f>SUMIF($K$14:$K$37,X14,$H$14:$H$37)</f>
        <v>0</v>
      </c>
      <c r="AC14" s="5">
        <f>SUMIF($I$14:$I$37,X14,$H$14:$H$37)</f>
        <v>8898</v>
      </c>
      <c r="AD14" s="5">
        <f>AB14-AC14</f>
        <v>-8898</v>
      </c>
      <c r="AE14" s="7">
        <v>-8898</v>
      </c>
    </row>
    <row r="15" spans="1:31" x14ac:dyDescent="0.35">
      <c r="A15">
        <v>4</v>
      </c>
      <c r="B15">
        <v>7</v>
      </c>
      <c r="C15">
        <v>23</v>
      </c>
      <c r="D15" t="s">
        <v>2</v>
      </c>
      <c r="E15">
        <v>73</v>
      </c>
      <c r="H15" s="61">
        <v>1870.3332468626677</v>
      </c>
      <c r="I15" s="9">
        <v>1</v>
      </c>
      <c r="J15" s="8" t="str">
        <f>VLOOKUP(I15,$X$14:$Y$20,2,0)</f>
        <v>Choco Volcano</v>
      </c>
      <c r="K15" s="8">
        <v>5</v>
      </c>
      <c r="L15" s="8" t="str">
        <f>_xlfn.XLOOKUP(K15,$X$14:$X$20,$Y$14:$Y$20)</f>
        <v>Malted Milk Manor</v>
      </c>
      <c r="M15" s="8" t="s">
        <v>0</v>
      </c>
      <c r="N15" s="18">
        <f t="shared" ref="N15:N37" si="0">_xlfn.XLOOKUP(J15,$Y$14:$Y$20,$Z$14:$Z$20)</f>
        <v>37.5</v>
      </c>
      <c r="O15" s="18">
        <f t="shared" ref="O15:O37" si="1">_xlfn.XLOOKUP(J15,$Y$14:$Y$20,$AA$14:$AA$20)</f>
        <v>-102.5</v>
      </c>
      <c r="P15" s="18">
        <f t="shared" ref="P15:P37" si="2">_xlfn.XLOOKUP(L15,$Y$14:$Y$20,$Z$14:$Z$20)</f>
        <v>39.86</v>
      </c>
      <c r="Q15" s="18">
        <f t="shared" ref="Q15:Q37" si="3">_xlfn.XLOOKUP(L15,$Y$14:$Y$20,$AA$14:$AA$20)</f>
        <v>-105.08</v>
      </c>
      <c r="R15" s="17">
        <f t="shared" ref="R15:R37" si="4">SQRT((P15-N15)^2+(Q15-O15)^2)</f>
        <v>3.4965697476240893</v>
      </c>
      <c r="S15" s="8">
        <f t="shared" ref="S15:S37" si="5">IF(OR(M15="Wind-powered Ships", M15="Electrified Rail", M15="Electric/Hybrid Trucks"), 0, 1)</f>
        <v>1</v>
      </c>
      <c r="T15" s="39">
        <v>83</v>
      </c>
      <c r="U15" s="18">
        <f t="shared" ref="U15:U37" si="6">IF(OR(T15&gt;=$F$2), 1, 0)</f>
        <v>1</v>
      </c>
      <c r="V15" s="36">
        <v>6</v>
      </c>
      <c r="X15" s="9">
        <v>2</v>
      </c>
      <c r="Y15" s="8" t="s">
        <v>8</v>
      </c>
      <c r="Z15" s="8">
        <v>34.4</v>
      </c>
      <c r="AA15" s="8">
        <v>-95.88</v>
      </c>
      <c r="AB15" s="8">
        <f>SUMIF($K$14:$K$37,X15,$H$14:$H$37)</f>
        <v>1717</v>
      </c>
      <c r="AC15" s="8">
        <f>SUMIF($I$14:$I$37,X15,$H$14:$H$37)</f>
        <v>0</v>
      </c>
      <c r="AD15" s="8">
        <f t="shared" ref="AD15:AD21" si="7">AB15-AC15</f>
        <v>1717</v>
      </c>
      <c r="AE15" s="10">
        <v>1717</v>
      </c>
    </row>
    <row r="16" spans="1:31" x14ac:dyDescent="0.35">
      <c r="A16">
        <v>5</v>
      </c>
      <c r="B16">
        <v>1</v>
      </c>
      <c r="C16">
        <v>9</v>
      </c>
      <c r="D16" t="s">
        <v>3</v>
      </c>
      <c r="E16">
        <v>35</v>
      </c>
      <c r="H16" s="61">
        <v>3793.6667531373323</v>
      </c>
      <c r="I16" s="9">
        <v>1</v>
      </c>
      <c r="J16" s="8" t="str">
        <f>VLOOKUP(I16,$X$14:$Y$20,2,0)</f>
        <v>Choco Volcano</v>
      </c>
      <c r="K16" s="8">
        <v>6</v>
      </c>
      <c r="L16" s="8" t="str">
        <f>_xlfn.XLOOKUP(K16,$X$14:$X$20,$Y$14:$Y$20)</f>
        <v>Peppermint Peninsula</v>
      </c>
      <c r="M16" s="30" t="s">
        <v>1</v>
      </c>
      <c r="N16" s="18">
        <f t="shared" si="0"/>
        <v>37.5</v>
      </c>
      <c r="O16" s="18">
        <f t="shared" si="1"/>
        <v>-102.5</v>
      </c>
      <c r="P16" s="18">
        <f t="shared" si="2"/>
        <v>40.81</v>
      </c>
      <c r="Q16" s="18">
        <f t="shared" si="3"/>
        <v>-110.66</v>
      </c>
      <c r="R16" s="17">
        <f t="shared" si="4"/>
        <v>8.8057765131758803</v>
      </c>
      <c r="S16" s="8">
        <f t="shared" si="5"/>
        <v>0</v>
      </c>
      <c r="T16" s="39">
        <v>31</v>
      </c>
      <c r="U16" s="18">
        <f t="shared" si="6"/>
        <v>0</v>
      </c>
      <c r="V16" s="36">
        <v>8</v>
      </c>
      <c r="X16" s="9">
        <v>3</v>
      </c>
      <c r="Y16" s="8" t="s">
        <v>9</v>
      </c>
      <c r="Z16" s="8">
        <v>33.020000000000003</v>
      </c>
      <c r="AA16" s="8">
        <v>-112.55</v>
      </c>
      <c r="AB16" s="8">
        <f>SUMIF($K$14:$K$37,X16,$H$14:$H$37)</f>
        <v>2244.6667531373323</v>
      </c>
      <c r="AC16" s="8">
        <f>SUMIF($I$14:$I$37,X16,$H$14:$H$37)</f>
        <v>791.66675313733242</v>
      </c>
      <c r="AD16" s="8">
        <f t="shared" si="7"/>
        <v>1453</v>
      </c>
      <c r="AE16" s="10">
        <v>1453</v>
      </c>
    </row>
    <row r="17" spans="1:31" x14ac:dyDescent="0.35">
      <c r="A17">
        <v>5</v>
      </c>
      <c r="B17">
        <v>2</v>
      </c>
      <c r="C17">
        <v>17</v>
      </c>
      <c r="D17" t="s">
        <v>0</v>
      </c>
      <c r="E17">
        <v>89</v>
      </c>
      <c r="H17" s="61">
        <v>1517</v>
      </c>
      <c r="I17" s="9">
        <v>1</v>
      </c>
      <c r="J17" s="8" t="str">
        <f>VLOOKUP(I17,$X$14:$Y$20,2,0)</f>
        <v>Choco Volcano</v>
      </c>
      <c r="K17" s="8">
        <v>7</v>
      </c>
      <c r="L17" s="8" t="str">
        <f>_xlfn.XLOOKUP(K17,$X$14:$X$20,$Y$14:$Y$20)</f>
        <v>Rainbow Ribbon Roads</v>
      </c>
      <c r="M17" s="8" t="s">
        <v>2</v>
      </c>
      <c r="N17" s="18">
        <f t="shared" si="0"/>
        <v>37.5</v>
      </c>
      <c r="O17" s="18">
        <f t="shared" si="1"/>
        <v>-102.5</v>
      </c>
      <c r="P17" s="18">
        <f t="shared" si="2"/>
        <v>38.06</v>
      </c>
      <c r="Q17" s="18">
        <f t="shared" si="3"/>
        <v>-108.82</v>
      </c>
      <c r="R17" s="17">
        <f t="shared" si="4"/>
        <v>6.3447616188474658</v>
      </c>
      <c r="S17" s="8">
        <f t="shared" si="5"/>
        <v>1</v>
      </c>
      <c r="T17" s="39">
        <v>87</v>
      </c>
      <c r="U17" s="18">
        <f t="shared" si="6"/>
        <v>1</v>
      </c>
      <c r="V17" s="36">
        <v>10</v>
      </c>
      <c r="X17" s="9">
        <v>4</v>
      </c>
      <c r="Y17" s="8" t="s">
        <v>10</v>
      </c>
      <c r="Z17" s="8">
        <v>34.119999999999997</v>
      </c>
      <c r="AA17" s="8">
        <v>-100.14</v>
      </c>
      <c r="AB17" s="8">
        <f>SUMIF($K$14:$K$37,X17,$H$14:$H$37)</f>
        <v>1462</v>
      </c>
      <c r="AC17" s="8">
        <f>SUMIF($I$14:$I$37,X17,$H$14:$H$37)</f>
        <v>0</v>
      </c>
      <c r="AD17" s="8">
        <f t="shared" si="7"/>
        <v>1462</v>
      </c>
      <c r="AE17" s="10">
        <v>1462</v>
      </c>
    </row>
    <row r="18" spans="1:31" x14ac:dyDescent="0.35">
      <c r="A18">
        <v>5</v>
      </c>
      <c r="B18">
        <v>3</v>
      </c>
      <c r="C18">
        <v>7</v>
      </c>
      <c r="D18" t="s">
        <v>2</v>
      </c>
      <c r="E18">
        <v>77</v>
      </c>
      <c r="H18" s="61">
        <v>0</v>
      </c>
      <c r="I18" s="9">
        <v>2</v>
      </c>
      <c r="J18" s="8" t="str">
        <f>VLOOKUP(I18,$X$14:$Y$20,2,0)</f>
        <v>Cocoa Bean Crater</v>
      </c>
      <c r="K18" s="8">
        <v>1</v>
      </c>
      <c r="L18" s="8" t="str">
        <f>_xlfn.XLOOKUP(K18,$X$14:$X$20,$Y$14:$Y$20)</f>
        <v>Choco Volcano</v>
      </c>
      <c r="M18" s="8" t="s">
        <v>0</v>
      </c>
      <c r="N18" s="18">
        <f t="shared" si="0"/>
        <v>34.4</v>
      </c>
      <c r="O18" s="18">
        <f t="shared" si="1"/>
        <v>-95.88</v>
      </c>
      <c r="P18" s="18">
        <f t="shared" si="2"/>
        <v>37.5</v>
      </c>
      <c r="Q18" s="18">
        <f t="shared" si="3"/>
        <v>-102.5</v>
      </c>
      <c r="R18" s="17">
        <f t="shared" si="4"/>
        <v>7.3098837200054056</v>
      </c>
      <c r="S18" s="8">
        <f t="shared" si="5"/>
        <v>1</v>
      </c>
      <c r="T18" s="39">
        <v>100</v>
      </c>
      <c r="U18" s="18">
        <f t="shared" si="6"/>
        <v>1</v>
      </c>
      <c r="V18" s="36">
        <v>8</v>
      </c>
      <c r="X18" s="9">
        <v>5</v>
      </c>
      <c r="Y18" s="8" t="s">
        <v>11</v>
      </c>
      <c r="Z18" s="8">
        <v>39.86</v>
      </c>
      <c r="AA18" s="8">
        <v>-105.08</v>
      </c>
      <c r="AB18" s="8">
        <f>SUMIF($K$14:$K$37,X18,$H$14:$H$37)</f>
        <v>2662</v>
      </c>
      <c r="AC18" s="8">
        <f>SUMIF($I$14:$I$37,X18,$H$14:$H$37)</f>
        <v>1462</v>
      </c>
      <c r="AD18" s="8">
        <f t="shared" si="7"/>
        <v>1200</v>
      </c>
      <c r="AE18" s="10">
        <v>1200</v>
      </c>
    </row>
    <row r="19" spans="1:31" x14ac:dyDescent="0.35">
      <c r="A19">
        <v>5</v>
      </c>
      <c r="B19">
        <v>4</v>
      </c>
      <c r="C19">
        <v>8</v>
      </c>
      <c r="D19" t="s">
        <v>2</v>
      </c>
      <c r="E19">
        <v>76</v>
      </c>
      <c r="H19" s="61">
        <v>0</v>
      </c>
      <c r="I19" s="9">
        <v>2</v>
      </c>
      <c r="J19" s="8" t="str">
        <f>VLOOKUP(I19,$X$14:$Y$20,2,0)</f>
        <v>Cocoa Bean Crater</v>
      </c>
      <c r="K19" s="8">
        <v>5</v>
      </c>
      <c r="L19" s="8" t="str">
        <f>_xlfn.XLOOKUP(K19,$X$14:$X$20,$Y$14:$Y$20)</f>
        <v>Malted Milk Manor</v>
      </c>
      <c r="M19" s="8" t="s">
        <v>3</v>
      </c>
      <c r="N19" s="18">
        <f t="shared" si="0"/>
        <v>34.4</v>
      </c>
      <c r="O19" s="18">
        <f t="shared" si="1"/>
        <v>-95.88</v>
      </c>
      <c r="P19" s="18">
        <f t="shared" si="2"/>
        <v>39.86</v>
      </c>
      <c r="Q19" s="18">
        <f t="shared" si="3"/>
        <v>-105.08</v>
      </c>
      <c r="R19" s="17">
        <f t="shared" si="4"/>
        <v>10.698205456991376</v>
      </c>
      <c r="S19" s="8">
        <f t="shared" si="5"/>
        <v>1</v>
      </c>
      <c r="T19" s="39">
        <v>105</v>
      </c>
      <c r="U19" s="18">
        <f t="shared" si="6"/>
        <v>1</v>
      </c>
      <c r="V19" s="36">
        <v>20</v>
      </c>
      <c r="X19" s="9">
        <v>6</v>
      </c>
      <c r="Y19" s="8" t="s">
        <v>12</v>
      </c>
      <c r="Z19" s="8">
        <v>40.81</v>
      </c>
      <c r="AA19" s="8">
        <v>-110.66</v>
      </c>
      <c r="AB19" s="8">
        <f>SUMIF($K$14:$K$37,X19,$H$14:$H$37)</f>
        <v>3793.6667531373323</v>
      </c>
      <c r="AC19" s="8">
        <f>SUMIF($I$14:$I$37,X19,$H$14:$H$37)</f>
        <v>2244.6667531373323</v>
      </c>
      <c r="AD19" s="8">
        <f t="shared" si="7"/>
        <v>1549</v>
      </c>
      <c r="AE19" s="10">
        <v>1549</v>
      </c>
    </row>
    <row r="20" spans="1:31" ht="15" thickBot="1" x14ac:dyDescent="0.4">
      <c r="A20">
        <v>5</v>
      </c>
      <c r="B20">
        <v>6</v>
      </c>
      <c r="C20">
        <v>7</v>
      </c>
      <c r="D20" t="s">
        <v>2</v>
      </c>
      <c r="E20">
        <v>90</v>
      </c>
      <c r="H20" s="61">
        <v>0</v>
      </c>
      <c r="I20" s="9">
        <v>3</v>
      </c>
      <c r="J20" s="8" t="str">
        <f>VLOOKUP(I20,$X$14:$Y$20,2,0)</f>
        <v>Gooey Ganache Grotto</v>
      </c>
      <c r="K20" s="8">
        <v>2</v>
      </c>
      <c r="L20" s="8" t="str">
        <f>_xlfn.XLOOKUP(K20,$X$14:$X$20,$Y$14:$Y$20)</f>
        <v>Cocoa Bean Crater</v>
      </c>
      <c r="M20" s="8" t="s">
        <v>0</v>
      </c>
      <c r="N20" s="18">
        <f t="shared" si="0"/>
        <v>33.020000000000003</v>
      </c>
      <c r="O20" s="18">
        <f t="shared" si="1"/>
        <v>-112.55</v>
      </c>
      <c r="P20" s="18">
        <f t="shared" si="2"/>
        <v>34.4</v>
      </c>
      <c r="Q20" s="18">
        <f t="shared" si="3"/>
        <v>-95.88</v>
      </c>
      <c r="R20" s="17">
        <f t="shared" si="4"/>
        <v>16.727023046555537</v>
      </c>
      <c r="S20" s="8">
        <f t="shared" si="5"/>
        <v>1</v>
      </c>
      <c r="T20" s="39">
        <v>83</v>
      </c>
      <c r="U20" s="18">
        <f t="shared" si="6"/>
        <v>1</v>
      </c>
      <c r="V20" s="36">
        <v>9</v>
      </c>
      <c r="X20" s="11">
        <v>7</v>
      </c>
      <c r="Y20" s="12" t="s">
        <v>13</v>
      </c>
      <c r="Z20" s="12">
        <v>38.06</v>
      </c>
      <c r="AA20" s="12">
        <v>-108.82</v>
      </c>
      <c r="AB20" s="12">
        <f>SUMIF($K$14:$K$37,X20,$H$14:$H$37)</f>
        <v>1517</v>
      </c>
      <c r="AC20" s="12">
        <f>SUMIF($I$14:$I$37,X20,$H$14:$H$37)</f>
        <v>0</v>
      </c>
      <c r="AD20" s="12">
        <f t="shared" si="7"/>
        <v>1517</v>
      </c>
      <c r="AE20" s="13">
        <v>1517</v>
      </c>
    </row>
    <row r="21" spans="1:31" x14ac:dyDescent="0.35">
      <c r="A21">
        <v>6</v>
      </c>
      <c r="B21">
        <v>3</v>
      </c>
      <c r="C21">
        <v>14</v>
      </c>
      <c r="D21" t="s">
        <v>1</v>
      </c>
      <c r="E21">
        <v>90</v>
      </c>
      <c r="H21" s="61">
        <v>791.66675313733242</v>
      </c>
      <c r="I21" s="9">
        <v>3</v>
      </c>
      <c r="J21" s="8" t="str">
        <f>VLOOKUP(I21,$X$14:$Y$20,2,0)</f>
        <v>Gooey Ganache Grotto</v>
      </c>
      <c r="K21" s="8">
        <v>5</v>
      </c>
      <c r="L21" s="8" t="str">
        <f>_xlfn.XLOOKUP(K21,$X$14:$X$20,$Y$14:$Y$20)</f>
        <v>Malted Milk Manor</v>
      </c>
      <c r="M21" s="30" t="s">
        <v>4</v>
      </c>
      <c r="N21" s="18">
        <f t="shared" si="0"/>
        <v>33.020000000000003</v>
      </c>
      <c r="O21" s="18">
        <f t="shared" si="1"/>
        <v>-112.55</v>
      </c>
      <c r="P21" s="18">
        <f t="shared" si="2"/>
        <v>39.86</v>
      </c>
      <c r="Q21" s="18">
        <f t="shared" si="3"/>
        <v>-105.08</v>
      </c>
      <c r="R21" s="17">
        <f t="shared" si="4"/>
        <v>10.128499395270749</v>
      </c>
      <c r="S21" s="8">
        <f t="shared" si="5"/>
        <v>0</v>
      </c>
      <c r="T21" s="39">
        <v>92</v>
      </c>
      <c r="U21" s="18">
        <f t="shared" si="6"/>
        <v>1</v>
      </c>
      <c r="V21" s="36">
        <v>16</v>
      </c>
    </row>
    <row r="22" spans="1:31" x14ac:dyDescent="0.35">
      <c r="A22">
        <v>7</v>
      </c>
      <c r="B22">
        <v>2</v>
      </c>
      <c r="C22">
        <v>24</v>
      </c>
      <c r="D22" t="s">
        <v>3</v>
      </c>
      <c r="E22">
        <v>31</v>
      </c>
      <c r="H22" s="61">
        <v>0</v>
      </c>
      <c r="I22" s="9">
        <v>3</v>
      </c>
      <c r="J22" s="8" t="str">
        <f>VLOOKUP(I22,$X$14:$Y$20,2,0)</f>
        <v>Gooey Ganache Grotto</v>
      </c>
      <c r="K22" s="8">
        <v>7</v>
      </c>
      <c r="L22" s="8" t="str">
        <f>_xlfn.XLOOKUP(K22,$X$14:$X$20,$Y$14:$Y$20)</f>
        <v>Rainbow Ribbon Roads</v>
      </c>
      <c r="M22" s="8" t="s">
        <v>3</v>
      </c>
      <c r="N22" s="18">
        <f t="shared" si="0"/>
        <v>33.020000000000003</v>
      </c>
      <c r="O22" s="18">
        <f t="shared" si="1"/>
        <v>-112.55</v>
      </c>
      <c r="P22" s="18">
        <f t="shared" si="2"/>
        <v>38.06</v>
      </c>
      <c r="Q22" s="18">
        <f t="shared" si="3"/>
        <v>-108.82</v>
      </c>
      <c r="R22" s="17">
        <f t="shared" si="4"/>
        <v>6.2701275904083502</v>
      </c>
      <c r="S22" s="8">
        <f t="shared" si="5"/>
        <v>1</v>
      </c>
      <c r="T22" s="39">
        <v>29</v>
      </c>
      <c r="U22" s="18">
        <f t="shared" si="6"/>
        <v>0</v>
      </c>
      <c r="V22" s="36">
        <v>13</v>
      </c>
    </row>
    <row r="23" spans="1:31" x14ac:dyDescent="0.35">
      <c r="A23">
        <v>7</v>
      </c>
      <c r="B23">
        <v>3</v>
      </c>
      <c r="C23">
        <v>13</v>
      </c>
      <c r="D23" t="s">
        <v>3</v>
      </c>
      <c r="E23">
        <v>88</v>
      </c>
      <c r="H23" s="61">
        <v>0</v>
      </c>
      <c r="I23" s="9">
        <v>4</v>
      </c>
      <c r="J23" s="8" t="str">
        <f>VLOOKUP(I23,$X$14:$Y$20,2,0)</f>
        <v>Honeysuckle Hollow</v>
      </c>
      <c r="K23" s="8">
        <v>1</v>
      </c>
      <c r="L23" s="8" t="str">
        <f>_xlfn.XLOOKUP(K23,$X$14:$X$20,$Y$14:$Y$20)</f>
        <v>Choco Volcano</v>
      </c>
      <c r="M23" s="30" t="s">
        <v>5</v>
      </c>
      <c r="N23" s="18">
        <f t="shared" si="0"/>
        <v>34.119999999999997</v>
      </c>
      <c r="O23" s="18">
        <f t="shared" si="1"/>
        <v>-100.14</v>
      </c>
      <c r="P23" s="18">
        <f t="shared" si="2"/>
        <v>37.5</v>
      </c>
      <c r="Q23" s="18">
        <f t="shared" si="3"/>
        <v>-102.5</v>
      </c>
      <c r="R23" s="17">
        <f t="shared" si="4"/>
        <v>4.1223779545306147</v>
      </c>
      <c r="S23" s="8">
        <f t="shared" si="5"/>
        <v>0</v>
      </c>
      <c r="T23" s="39">
        <v>28</v>
      </c>
      <c r="U23" s="18">
        <f t="shared" si="6"/>
        <v>0</v>
      </c>
      <c r="V23" s="36">
        <v>19</v>
      </c>
      <c r="X23" s="32" t="s">
        <v>41</v>
      </c>
      <c r="Y23" s="32"/>
      <c r="Z23" s="24" t="s">
        <v>44</v>
      </c>
      <c r="AA23" s="24" t="s">
        <v>43</v>
      </c>
      <c r="AB23" s="24" t="s">
        <v>45</v>
      </c>
      <c r="AC23" s="24" t="s">
        <v>46</v>
      </c>
      <c r="AD23" s="24" t="s">
        <v>47</v>
      </c>
      <c r="AE23" s="24" t="s">
        <v>48</v>
      </c>
    </row>
    <row r="24" spans="1:31" x14ac:dyDescent="0.35">
      <c r="A24">
        <v>7</v>
      </c>
      <c r="B24">
        <v>5</v>
      </c>
      <c r="C24">
        <v>11</v>
      </c>
      <c r="D24" t="s">
        <v>6</v>
      </c>
      <c r="E24">
        <v>38</v>
      </c>
      <c r="H24" s="61">
        <v>0</v>
      </c>
      <c r="I24" s="9">
        <v>4</v>
      </c>
      <c r="J24" s="8" t="str">
        <f>VLOOKUP(I24,$X$14:$Y$20,2,0)</f>
        <v>Honeysuckle Hollow</v>
      </c>
      <c r="K24" s="8">
        <v>2</v>
      </c>
      <c r="L24" s="8" t="str">
        <f>_xlfn.XLOOKUP(K24,$X$14:$X$20,$Y$14:$Y$20)</f>
        <v>Cocoa Bean Crater</v>
      </c>
      <c r="M24" s="8" t="s">
        <v>6</v>
      </c>
      <c r="N24" s="18">
        <f t="shared" si="0"/>
        <v>34.119999999999997</v>
      </c>
      <c r="O24" s="18">
        <f t="shared" si="1"/>
        <v>-100.14</v>
      </c>
      <c r="P24" s="18">
        <f t="shared" si="2"/>
        <v>34.4</v>
      </c>
      <c r="Q24" s="18">
        <f t="shared" si="3"/>
        <v>-95.88</v>
      </c>
      <c r="R24" s="17">
        <f t="shared" si="4"/>
        <v>4.2691919610155793</v>
      </c>
      <c r="S24" s="8">
        <f t="shared" si="5"/>
        <v>1</v>
      </c>
      <c r="T24" s="39">
        <v>87</v>
      </c>
      <c r="U24" s="18">
        <f t="shared" si="6"/>
        <v>1</v>
      </c>
      <c r="V24" s="36">
        <v>23</v>
      </c>
      <c r="Y24" s="26" t="s">
        <v>33</v>
      </c>
      <c r="Z24" s="59">
        <f>SUMPRODUCT(H14:H37,V14:V37)</f>
        <v>134850.33610039463</v>
      </c>
      <c r="AA24" s="53">
        <v>96440</v>
      </c>
      <c r="AB24" s="42">
        <f>Z24-AA24</f>
        <v>38410.336100394634</v>
      </c>
      <c r="AC24" s="43">
        <f>AB24/AA24</f>
        <v>0.39828220759430355</v>
      </c>
      <c r="AD24" s="25">
        <v>1</v>
      </c>
      <c r="AE24" s="44">
        <f>AD24*AC24</f>
        <v>0.39828220759430355</v>
      </c>
    </row>
    <row r="25" spans="1:31" x14ac:dyDescent="0.35">
      <c r="A25">
        <v>7</v>
      </c>
      <c r="B25">
        <v>6</v>
      </c>
      <c r="C25">
        <v>5</v>
      </c>
      <c r="D25" t="s">
        <v>2</v>
      </c>
      <c r="E25">
        <v>110</v>
      </c>
      <c r="H25" s="61">
        <v>0</v>
      </c>
      <c r="I25" s="9">
        <v>4</v>
      </c>
      <c r="J25" s="8" t="str">
        <f>VLOOKUP(I25,$X$14:$Y$20,2,0)</f>
        <v>Honeysuckle Hollow</v>
      </c>
      <c r="K25" s="8">
        <v>3</v>
      </c>
      <c r="L25" s="8" t="str">
        <f>_xlfn.XLOOKUP(K25,$X$14:$X$20,$Y$14:$Y$20)</f>
        <v>Gooey Ganache Grotto</v>
      </c>
      <c r="M25" s="8" t="s">
        <v>2</v>
      </c>
      <c r="N25" s="18">
        <f t="shared" si="0"/>
        <v>34.119999999999997</v>
      </c>
      <c r="O25" s="18">
        <f t="shared" si="1"/>
        <v>-100.14</v>
      </c>
      <c r="P25" s="18">
        <f t="shared" si="2"/>
        <v>33.020000000000003</v>
      </c>
      <c r="Q25" s="18">
        <f t="shared" si="3"/>
        <v>-112.55</v>
      </c>
      <c r="R25" s="17">
        <f t="shared" si="4"/>
        <v>12.458655625708575</v>
      </c>
      <c r="S25" s="8">
        <f t="shared" si="5"/>
        <v>1</v>
      </c>
      <c r="T25" s="39">
        <v>20</v>
      </c>
      <c r="U25" s="18">
        <f t="shared" si="6"/>
        <v>0</v>
      </c>
      <c r="V25" s="37">
        <v>14</v>
      </c>
      <c r="Y25" s="26" t="s">
        <v>34</v>
      </c>
      <c r="Z25" s="60">
        <f>SUMPRODUCT(H14:H37,R14:R37)</f>
        <v>99205.453123307729</v>
      </c>
      <c r="AA25" s="52">
        <v>74525.334305990487</v>
      </c>
      <c r="AB25" s="42">
        <f t="shared" ref="AB25:AB27" si="8">Z25-AA25</f>
        <v>24680.118817317241</v>
      </c>
      <c r="AC25" s="43">
        <f>AB25/AA25</f>
        <v>0.33116414769753549</v>
      </c>
      <c r="AD25" s="25">
        <v>1</v>
      </c>
      <c r="AE25" s="44">
        <f t="shared" ref="AE25:AE26" si="9">AD25*AC25</f>
        <v>0.33116414769753549</v>
      </c>
    </row>
    <row r="26" spans="1:31" x14ac:dyDescent="0.35">
      <c r="H26" s="61">
        <v>0</v>
      </c>
      <c r="I26" s="9">
        <v>4</v>
      </c>
      <c r="J26" s="8" t="str">
        <f>VLOOKUP(I26,$X$14:$Y$20,2,0)</f>
        <v>Honeysuckle Hollow</v>
      </c>
      <c r="K26" s="8">
        <v>6</v>
      </c>
      <c r="L26" s="8" t="str">
        <f>_xlfn.XLOOKUP(K26,$X$14:$X$20,$Y$14:$Y$20)</f>
        <v>Peppermint Peninsula</v>
      </c>
      <c r="M26" s="30" t="s">
        <v>1</v>
      </c>
      <c r="N26" s="18">
        <f t="shared" si="0"/>
        <v>34.119999999999997</v>
      </c>
      <c r="O26" s="18">
        <f t="shared" si="1"/>
        <v>-100.14</v>
      </c>
      <c r="P26" s="18">
        <f t="shared" si="2"/>
        <v>40.81</v>
      </c>
      <c r="Q26" s="18">
        <f t="shared" si="3"/>
        <v>-110.66</v>
      </c>
      <c r="R26" s="17">
        <f t="shared" si="4"/>
        <v>12.467016483505585</v>
      </c>
      <c r="S26" s="8">
        <f t="shared" si="5"/>
        <v>0</v>
      </c>
      <c r="T26" s="39">
        <v>77</v>
      </c>
      <c r="U26" s="18">
        <f t="shared" si="6"/>
        <v>1</v>
      </c>
      <c r="V26" s="37">
        <v>5</v>
      </c>
      <c r="X26" s="2" t="s">
        <v>40</v>
      </c>
      <c r="Y26" s="2"/>
      <c r="Z26" s="60">
        <f>SUMPRODUCT(H14:H37,S14:S37)</f>
        <v>6566.3332468626677</v>
      </c>
      <c r="AA26" s="52">
        <v>4696</v>
      </c>
      <c r="AB26" s="42">
        <f t="shared" si="8"/>
        <v>1870.3332468626677</v>
      </c>
      <c r="AC26" s="43">
        <f t="shared" ref="AC26:AC27" si="10">AB26/AA26</f>
        <v>0.39828220759426486</v>
      </c>
      <c r="AD26" s="25">
        <v>1</v>
      </c>
      <c r="AE26" s="44">
        <f t="shared" si="9"/>
        <v>0.39828220759426486</v>
      </c>
    </row>
    <row r="27" spans="1:31" x14ac:dyDescent="0.35">
      <c r="H27" s="61">
        <v>0</v>
      </c>
      <c r="I27" s="9">
        <v>4</v>
      </c>
      <c r="J27" s="8" t="str">
        <f>VLOOKUP(I27,$X$14:$Y$20,2,0)</f>
        <v>Honeysuckle Hollow</v>
      </c>
      <c r="K27" s="8">
        <v>7</v>
      </c>
      <c r="L27" s="8" t="str">
        <f>_xlfn.XLOOKUP(K27,$X$14:$X$20,$Y$14:$Y$20)</f>
        <v>Rainbow Ribbon Roads</v>
      </c>
      <c r="M27" s="8" t="s">
        <v>2</v>
      </c>
      <c r="N27" s="18">
        <f t="shared" si="0"/>
        <v>34.119999999999997</v>
      </c>
      <c r="O27" s="18">
        <f t="shared" si="1"/>
        <v>-100.14</v>
      </c>
      <c r="P27" s="18">
        <f t="shared" si="2"/>
        <v>38.06</v>
      </c>
      <c r="Q27" s="18">
        <f t="shared" si="3"/>
        <v>-108.82</v>
      </c>
      <c r="R27" s="17">
        <f t="shared" si="4"/>
        <v>9.532365918280723</v>
      </c>
      <c r="S27" s="8">
        <f t="shared" si="5"/>
        <v>1</v>
      </c>
      <c r="T27" s="39">
        <v>73</v>
      </c>
      <c r="U27" s="18">
        <f t="shared" si="6"/>
        <v>1</v>
      </c>
      <c r="V27" s="37">
        <v>23</v>
      </c>
      <c r="X27" s="2" t="s">
        <v>54</v>
      </c>
      <c r="Y27" s="2"/>
      <c r="Z27" s="60">
        <f>SUMPRODUCT(H14:H37,U14:U37)</f>
        <v>9602.6667531373314</v>
      </c>
      <c r="AA27" s="54">
        <v>8811</v>
      </c>
      <c r="AB27" s="42">
        <f>Z27-AA27</f>
        <v>791.6667531373314</v>
      </c>
      <c r="AC27" s="43">
        <f t="shared" si="10"/>
        <v>8.9849818764877021E-2</v>
      </c>
      <c r="AD27" s="25">
        <v>1</v>
      </c>
      <c r="AE27" s="44">
        <f>AD27*AC27</f>
        <v>8.9849818764877021E-2</v>
      </c>
    </row>
    <row r="28" spans="1:31" x14ac:dyDescent="0.35">
      <c r="H28" s="61">
        <v>0</v>
      </c>
      <c r="I28" s="9">
        <v>5</v>
      </c>
      <c r="J28" s="8" t="str">
        <f>VLOOKUP(I28,$X$14:$Y$20,2,0)</f>
        <v>Malted Milk Manor</v>
      </c>
      <c r="K28" s="8">
        <v>1</v>
      </c>
      <c r="L28" s="8" t="str">
        <f>_xlfn.XLOOKUP(K28,$X$14:$X$20,$Y$14:$Y$20)</f>
        <v>Choco Volcano</v>
      </c>
      <c r="M28" s="8" t="s">
        <v>3</v>
      </c>
      <c r="N28" s="18">
        <f t="shared" si="0"/>
        <v>39.86</v>
      </c>
      <c r="O28" s="18">
        <f t="shared" si="1"/>
        <v>-105.08</v>
      </c>
      <c r="P28" s="18">
        <f t="shared" si="2"/>
        <v>37.5</v>
      </c>
      <c r="Q28" s="18">
        <f t="shared" si="3"/>
        <v>-102.5</v>
      </c>
      <c r="R28" s="17">
        <f t="shared" si="4"/>
        <v>3.4965697476240893</v>
      </c>
      <c r="S28" s="8">
        <f t="shared" si="5"/>
        <v>1</v>
      </c>
      <c r="T28" s="39">
        <v>35</v>
      </c>
      <c r="U28" s="18">
        <f t="shared" si="6"/>
        <v>0</v>
      </c>
      <c r="V28" s="37">
        <v>9</v>
      </c>
      <c r="AB28" s="42"/>
    </row>
    <row r="29" spans="1:31" x14ac:dyDescent="0.35">
      <c r="H29" s="61">
        <v>0</v>
      </c>
      <c r="I29" s="9">
        <v>5</v>
      </c>
      <c r="J29" s="8" t="str">
        <f>VLOOKUP(I29,$X$14:$Y$20,2,0)</f>
        <v>Malted Milk Manor</v>
      </c>
      <c r="K29" s="8">
        <v>2</v>
      </c>
      <c r="L29" s="8" t="str">
        <f>_xlfn.XLOOKUP(K29,$X$14:$X$20,$Y$14:$Y$20)</f>
        <v>Cocoa Bean Crater</v>
      </c>
      <c r="M29" s="8" t="s">
        <v>0</v>
      </c>
      <c r="N29" s="18">
        <f t="shared" si="0"/>
        <v>39.86</v>
      </c>
      <c r="O29" s="18">
        <f t="shared" si="1"/>
        <v>-105.08</v>
      </c>
      <c r="P29" s="18">
        <f t="shared" si="2"/>
        <v>34.4</v>
      </c>
      <c r="Q29" s="18">
        <f t="shared" si="3"/>
        <v>-95.88</v>
      </c>
      <c r="R29" s="17">
        <f t="shared" si="4"/>
        <v>10.698205456991376</v>
      </c>
      <c r="S29" s="8">
        <f t="shared" si="5"/>
        <v>1</v>
      </c>
      <c r="T29" s="39">
        <v>89</v>
      </c>
      <c r="U29" s="18">
        <f t="shared" si="6"/>
        <v>1</v>
      </c>
      <c r="V29" s="37">
        <v>17</v>
      </c>
      <c r="X29" s="56" t="s">
        <v>51</v>
      </c>
    </row>
    <row r="30" spans="1:31" x14ac:dyDescent="0.35">
      <c r="H30" s="61">
        <v>0</v>
      </c>
      <c r="I30" s="9">
        <v>5</v>
      </c>
      <c r="J30" s="8" t="str">
        <f>VLOOKUP(I30,$X$14:$Y$20,2,0)</f>
        <v>Malted Milk Manor</v>
      </c>
      <c r="K30" s="8">
        <v>3</v>
      </c>
      <c r="L30" s="8" t="str">
        <f>_xlfn.XLOOKUP(K30,$X$14:$X$20,$Y$14:$Y$20)</f>
        <v>Gooey Ganache Grotto</v>
      </c>
      <c r="M30" s="8" t="s">
        <v>2</v>
      </c>
      <c r="N30" s="18">
        <f t="shared" si="0"/>
        <v>39.86</v>
      </c>
      <c r="O30" s="18">
        <f t="shared" si="1"/>
        <v>-105.08</v>
      </c>
      <c r="P30" s="18">
        <f t="shared" si="2"/>
        <v>33.020000000000003</v>
      </c>
      <c r="Q30" s="18">
        <f t="shared" si="3"/>
        <v>-112.55</v>
      </c>
      <c r="R30" s="17">
        <f t="shared" si="4"/>
        <v>10.128499395270749</v>
      </c>
      <c r="S30" s="8">
        <f t="shared" si="5"/>
        <v>1</v>
      </c>
      <c r="T30" s="39">
        <v>77</v>
      </c>
      <c r="U30" s="18">
        <f t="shared" si="6"/>
        <v>1</v>
      </c>
      <c r="V30" s="37">
        <v>7</v>
      </c>
      <c r="X30" s="57" t="s">
        <v>52</v>
      </c>
      <c r="Y30" s="58">
        <v>0.39828220759433203</v>
      </c>
    </row>
    <row r="31" spans="1:31" x14ac:dyDescent="0.35">
      <c r="H31" s="61">
        <v>1462</v>
      </c>
      <c r="I31" s="9">
        <v>5</v>
      </c>
      <c r="J31" s="8" t="str">
        <f>VLOOKUP(I31,$X$14:$Y$20,2,0)</f>
        <v>Malted Milk Manor</v>
      </c>
      <c r="K31" s="8">
        <v>4</v>
      </c>
      <c r="L31" s="8" t="str">
        <f>_xlfn.XLOOKUP(K31,$X$14:$X$20,$Y$14:$Y$20)</f>
        <v>Honeysuckle Hollow</v>
      </c>
      <c r="M31" s="8" t="s">
        <v>2</v>
      </c>
      <c r="N31" s="18">
        <f t="shared" si="0"/>
        <v>39.86</v>
      </c>
      <c r="O31" s="18">
        <f t="shared" si="1"/>
        <v>-105.08</v>
      </c>
      <c r="P31" s="18">
        <f t="shared" si="2"/>
        <v>34.119999999999997</v>
      </c>
      <c r="Q31" s="18">
        <f t="shared" si="3"/>
        <v>-100.14</v>
      </c>
      <c r="R31" s="17">
        <f t="shared" si="4"/>
        <v>7.5730575067141803</v>
      </c>
      <c r="S31" s="8">
        <f t="shared" si="5"/>
        <v>1</v>
      </c>
      <c r="T31" s="39">
        <v>76</v>
      </c>
      <c r="U31" s="18">
        <f t="shared" si="6"/>
        <v>1</v>
      </c>
      <c r="V31" s="37">
        <v>8</v>
      </c>
    </row>
    <row r="32" spans="1:31" x14ac:dyDescent="0.35">
      <c r="H32" s="61">
        <v>0</v>
      </c>
      <c r="I32" s="9">
        <v>5</v>
      </c>
      <c r="J32" s="8" t="str">
        <f>VLOOKUP(I32,$X$14:$Y$20,2,0)</f>
        <v>Malted Milk Manor</v>
      </c>
      <c r="K32" s="8">
        <v>6</v>
      </c>
      <c r="L32" s="8" t="str">
        <f>_xlfn.XLOOKUP(K32,$X$14:$X$20,$Y$14:$Y$20)</f>
        <v>Peppermint Peninsula</v>
      </c>
      <c r="M32" s="8" t="s">
        <v>2</v>
      </c>
      <c r="N32" s="18">
        <f t="shared" si="0"/>
        <v>39.86</v>
      </c>
      <c r="O32" s="18">
        <f t="shared" si="1"/>
        <v>-105.08</v>
      </c>
      <c r="P32" s="18">
        <f t="shared" si="2"/>
        <v>40.81</v>
      </c>
      <c r="Q32" s="18">
        <f t="shared" si="3"/>
        <v>-110.66</v>
      </c>
      <c r="R32" s="17">
        <f t="shared" si="4"/>
        <v>5.6602915119276309</v>
      </c>
      <c r="S32" s="8">
        <f t="shared" si="5"/>
        <v>1</v>
      </c>
      <c r="T32" s="39">
        <v>90</v>
      </c>
      <c r="U32" s="18">
        <f t="shared" si="6"/>
        <v>1</v>
      </c>
      <c r="V32" s="37">
        <v>7</v>
      </c>
    </row>
    <row r="33" spans="7:22" x14ac:dyDescent="0.35">
      <c r="H33" s="61">
        <v>2244.6667531373323</v>
      </c>
      <c r="I33" s="9">
        <v>6</v>
      </c>
      <c r="J33" s="8" t="str">
        <f>VLOOKUP(I33,$X$14:$Y$20,2,0)</f>
        <v>Peppermint Peninsula</v>
      </c>
      <c r="K33" s="8">
        <v>3</v>
      </c>
      <c r="L33" s="8" t="str">
        <f>_xlfn.XLOOKUP(K33,$X$14:$X$20,$Y$14:$Y$20)</f>
        <v>Gooey Ganache Grotto</v>
      </c>
      <c r="M33" s="30" t="s">
        <v>1</v>
      </c>
      <c r="N33" s="18">
        <f t="shared" si="0"/>
        <v>40.81</v>
      </c>
      <c r="O33" s="18">
        <f t="shared" si="1"/>
        <v>-110.66</v>
      </c>
      <c r="P33" s="18">
        <f t="shared" si="2"/>
        <v>33.020000000000003</v>
      </c>
      <c r="Q33" s="18">
        <f t="shared" si="3"/>
        <v>-112.55</v>
      </c>
      <c r="R33" s="17">
        <f t="shared" si="4"/>
        <v>8.0159965069852657</v>
      </c>
      <c r="S33" s="8">
        <f t="shared" si="5"/>
        <v>0</v>
      </c>
      <c r="T33" s="39">
        <v>90</v>
      </c>
      <c r="U33" s="18">
        <f t="shared" si="6"/>
        <v>1</v>
      </c>
      <c r="V33" s="37">
        <v>14</v>
      </c>
    </row>
    <row r="34" spans="7:22" x14ac:dyDescent="0.35">
      <c r="H34" s="61">
        <v>0</v>
      </c>
      <c r="I34" s="9">
        <v>7</v>
      </c>
      <c r="J34" s="8" t="str">
        <f>VLOOKUP(I34,$X$14:$Y$20,2,0)</f>
        <v>Rainbow Ribbon Roads</v>
      </c>
      <c r="K34" s="8">
        <v>2</v>
      </c>
      <c r="L34" s="8" t="str">
        <f>_xlfn.XLOOKUP(K34,$X$14:$X$20,$Y$14:$Y$20)</f>
        <v>Cocoa Bean Crater</v>
      </c>
      <c r="M34" s="8" t="s">
        <v>3</v>
      </c>
      <c r="N34" s="18">
        <f t="shared" si="0"/>
        <v>38.06</v>
      </c>
      <c r="O34" s="18">
        <f t="shared" si="1"/>
        <v>-108.82</v>
      </c>
      <c r="P34" s="18">
        <f t="shared" si="2"/>
        <v>34.4</v>
      </c>
      <c r="Q34" s="18">
        <f t="shared" si="3"/>
        <v>-95.88</v>
      </c>
      <c r="R34" s="17">
        <f t="shared" si="4"/>
        <v>13.447646634262814</v>
      </c>
      <c r="S34" s="8">
        <f t="shared" si="5"/>
        <v>1</v>
      </c>
      <c r="T34" s="39">
        <v>31</v>
      </c>
      <c r="U34" s="18">
        <f t="shared" si="6"/>
        <v>0</v>
      </c>
      <c r="V34" s="37">
        <v>24</v>
      </c>
    </row>
    <row r="35" spans="7:22" x14ac:dyDescent="0.35">
      <c r="H35" s="61">
        <v>0</v>
      </c>
      <c r="I35" s="9">
        <v>7</v>
      </c>
      <c r="J35" s="8" t="str">
        <f>VLOOKUP(I35,$X$14:$Y$20,2,0)</f>
        <v>Rainbow Ribbon Roads</v>
      </c>
      <c r="K35" s="8">
        <v>3</v>
      </c>
      <c r="L35" s="8" t="str">
        <f>_xlfn.XLOOKUP(K35,$X$14:$X$20,$Y$14:$Y$20)</f>
        <v>Gooey Ganache Grotto</v>
      </c>
      <c r="M35" s="8" t="s">
        <v>3</v>
      </c>
      <c r="N35" s="18">
        <f t="shared" si="0"/>
        <v>38.06</v>
      </c>
      <c r="O35" s="18">
        <f t="shared" si="1"/>
        <v>-108.82</v>
      </c>
      <c r="P35" s="18">
        <f t="shared" si="2"/>
        <v>33.020000000000003</v>
      </c>
      <c r="Q35" s="18">
        <f t="shared" si="3"/>
        <v>-112.55</v>
      </c>
      <c r="R35" s="17">
        <f t="shared" si="4"/>
        <v>6.2701275904083502</v>
      </c>
      <c r="S35" s="8">
        <f t="shared" si="5"/>
        <v>1</v>
      </c>
      <c r="T35" s="39">
        <v>88</v>
      </c>
      <c r="U35" s="18">
        <f t="shared" si="6"/>
        <v>1</v>
      </c>
      <c r="V35" s="37">
        <v>13</v>
      </c>
    </row>
    <row r="36" spans="7:22" x14ac:dyDescent="0.35">
      <c r="H36" s="61">
        <v>0</v>
      </c>
      <c r="I36" s="9">
        <v>7</v>
      </c>
      <c r="J36" s="8" t="str">
        <f>VLOOKUP(I36,$X$14:$Y$20,2,0)</f>
        <v>Rainbow Ribbon Roads</v>
      </c>
      <c r="K36" s="8">
        <v>5</v>
      </c>
      <c r="L36" s="8" t="str">
        <f>_xlfn.XLOOKUP(K36,$X$14:$X$20,$Y$14:$Y$20)</f>
        <v>Malted Milk Manor</v>
      </c>
      <c r="M36" s="8" t="s">
        <v>6</v>
      </c>
      <c r="N36" s="18">
        <f t="shared" si="0"/>
        <v>38.06</v>
      </c>
      <c r="O36" s="18">
        <f t="shared" si="1"/>
        <v>-108.82</v>
      </c>
      <c r="P36" s="18">
        <f t="shared" si="2"/>
        <v>39.86</v>
      </c>
      <c r="Q36" s="18">
        <f t="shared" si="3"/>
        <v>-105.08</v>
      </c>
      <c r="R36" s="17">
        <f t="shared" si="4"/>
        <v>4.1506144123490865</v>
      </c>
      <c r="S36" s="8">
        <f t="shared" si="5"/>
        <v>1</v>
      </c>
      <c r="T36" s="39">
        <v>38</v>
      </c>
      <c r="U36" s="18">
        <f t="shared" si="6"/>
        <v>0</v>
      </c>
      <c r="V36" s="37">
        <v>11</v>
      </c>
    </row>
    <row r="37" spans="7:22" ht="15" thickBot="1" x14ac:dyDescent="0.4">
      <c r="H37" s="62">
        <v>0</v>
      </c>
      <c r="I37" s="11">
        <v>7</v>
      </c>
      <c r="J37" s="12" t="str">
        <f>VLOOKUP(I37,$X$14:$Y$20,2,0)</f>
        <v>Rainbow Ribbon Roads</v>
      </c>
      <c r="K37" s="12">
        <v>6</v>
      </c>
      <c r="L37" s="12" t="str">
        <f>_xlfn.XLOOKUP(K37,$X$14:$X$20,$Y$14:$Y$20)</f>
        <v>Peppermint Peninsula</v>
      </c>
      <c r="M37" s="12" t="s">
        <v>2</v>
      </c>
      <c r="N37" s="28">
        <f t="shared" si="0"/>
        <v>38.06</v>
      </c>
      <c r="O37" s="28">
        <f t="shared" si="1"/>
        <v>-108.82</v>
      </c>
      <c r="P37" s="28">
        <f t="shared" si="2"/>
        <v>40.81</v>
      </c>
      <c r="Q37" s="28">
        <f t="shared" si="3"/>
        <v>-110.66</v>
      </c>
      <c r="R37" s="29">
        <f t="shared" si="4"/>
        <v>3.308791320104671</v>
      </c>
      <c r="S37" s="12">
        <f t="shared" si="5"/>
        <v>1</v>
      </c>
      <c r="T37" s="40">
        <v>110</v>
      </c>
      <c r="U37" s="28">
        <f t="shared" si="6"/>
        <v>1</v>
      </c>
      <c r="V37" s="38">
        <v>5</v>
      </c>
    </row>
    <row r="38" spans="7:22" x14ac:dyDescent="0.35">
      <c r="G38" s="1" t="s">
        <v>53</v>
      </c>
      <c r="H38" s="52">
        <f>SUM(H14:H37)</f>
        <v>13396.333506274666</v>
      </c>
    </row>
  </sheetData>
  <mergeCells count="10">
    <mergeCell ref="X13:Y13"/>
    <mergeCell ref="X23:Y23"/>
    <mergeCell ref="X26:Y26"/>
    <mergeCell ref="X27:Y27"/>
    <mergeCell ref="R6:T6"/>
    <mergeCell ref="R7:T7"/>
    <mergeCell ref="R8:T8"/>
    <mergeCell ref="R9:T9"/>
    <mergeCell ref="I13:J13"/>
    <mergeCell ref="K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6514-3D7C-42C9-B1F3-047D646567E7}">
  <dimension ref="A1:AE38"/>
  <sheetViews>
    <sheetView tabSelected="1" zoomScale="72" workbookViewId="0">
      <selection activeCell="AD37" sqref="AD37"/>
    </sheetView>
  </sheetViews>
  <sheetFormatPr defaultRowHeight="14.5" x14ac:dyDescent="0.35"/>
  <cols>
    <col min="3" max="3" width="19.90625" bestFit="1" customWidth="1"/>
    <col min="4" max="4" width="27.1796875" customWidth="1"/>
    <col min="5" max="5" width="14.90625" bestFit="1" customWidth="1"/>
    <col min="6" max="6" width="18.7265625" bestFit="1" customWidth="1"/>
    <col min="8" max="8" width="9.6328125" bestFit="1" customWidth="1"/>
    <col min="9" max="9" width="10.453125" bestFit="1" customWidth="1"/>
    <col min="10" max="10" width="20.08984375" bestFit="1" customWidth="1"/>
    <col min="12" max="12" width="19.54296875" bestFit="1" customWidth="1"/>
    <col min="13" max="13" width="24.1796875" bestFit="1" customWidth="1"/>
    <col min="14" max="14" width="24.1796875" customWidth="1"/>
    <col min="15" max="15" width="22" customWidth="1"/>
    <col min="16" max="17" width="12.6328125" bestFit="1" customWidth="1"/>
    <col min="18" max="18" width="12.54296875" customWidth="1"/>
    <col min="19" max="19" width="12.6328125" customWidth="1"/>
    <col min="20" max="20" width="16.453125" customWidth="1"/>
    <col min="21" max="21" width="22.54296875" customWidth="1"/>
    <col min="22" max="22" width="13.54296875" customWidth="1"/>
    <col min="23" max="23" width="19.81640625" bestFit="1" customWidth="1"/>
    <col min="24" max="24" width="16.36328125" bestFit="1" customWidth="1"/>
    <col min="25" max="25" width="19.81640625" bestFit="1" customWidth="1"/>
    <col min="26" max="27" width="14.54296875" bestFit="1" customWidth="1"/>
    <col min="28" max="28" width="11.1796875" bestFit="1" customWidth="1"/>
    <col min="29" max="29" width="11.7265625" customWidth="1"/>
    <col min="31" max="31" width="21.26953125" customWidth="1"/>
  </cols>
  <sheetData>
    <row r="1" spans="1:31" x14ac:dyDescent="0.35">
      <c r="A1" s="1" t="s">
        <v>14</v>
      </c>
      <c r="B1" s="1" t="s">
        <v>15</v>
      </c>
      <c r="C1" s="1" t="s">
        <v>24</v>
      </c>
      <c r="D1" s="1" t="s">
        <v>23</v>
      </c>
      <c r="E1" s="1" t="s">
        <v>22</v>
      </c>
      <c r="F1" s="1" t="s">
        <v>50</v>
      </c>
      <c r="I1" s="1" t="s">
        <v>21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32</v>
      </c>
      <c r="R1" s="1"/>
      <c r="S1" s="1"/>
      <c r="T1" s="1"/>
      <c r="U1" s="1"/>
    </row>
    <row r="2" spans="1:31" x14ac:dyDescent="0.35">
      <c r="A2">
        <v>1</v>
      </c>
      <c r="B2">
        <v>2</v>
      </c>
      <c r="C2">
        <v>13</v>
      </c>
      <c r="D2" t="s">
        <v>0</v>
      </c>
      <c r="E2">
        <v>103</v>
      </c>
      <c r="F2" s="25">
        <v>70</v>
      </c>
      <c r="G2" s="50"/>
      <c r="I2">
        <v>1</v>
      </c>
      <c r="J2" t="s">
        <v>7</v>
      </c>
      <c r="K2" s="55">
        <v>37.5</v>
      </c>
      <c r="L2" s="55">
        <v>-102.5</v>
      </c>
      <c r="M2">
        <v>8898</v>
      </c>
      <c r="O2">
        <f>SUM(N3:N8)</f>
        <v>8898</v>
      </c>
    </row>
    <row r="3" spans="1:31" x14ac:dyDescent="0.35">
      <c r="A3">
        <v>1</v>
      </c>
      <c r="B3">
        <v>5</v>
      </c>
      <c r="C3">
        <v>6</v>
      </c>
      <c r="D3" t="s">
        <v>0</v>
      </c>
      <c r="E3">
        <v>83</v>
      </c>
      <c r="F3" s="49"/>
      <c r="I3">
        <v>2</v>
      </c>
      <c r="J3" t="s">
        <v>8</v>
      </c>
      <c r="K3" s="55">
        <v>34.4</v>
      </c>
      <c r="L3" s="55">
        <v>-95.88</v>
      </c>
      <c r="N3">
        <v>1717</v>
      </c>
    </row>
    <row r="4" spans="1:31" x14ac:dyDescent="0.35">
      <c r="A4">
        <v>1</v>
      </c>
      <c r="B4">
        <v>6</v>
      </c>
      <c r="C4">
        <v>8</v>
      </c>
      <c r="D4" t="s">
        <v>1</v>
      </c>
      <c r="E4">
        <v>31</v>
      </c>
      <c r="I4">
        <v>3</v>
      </c>
      <c r="J4" t="s">
        <v>9</v>
      </c>
      <c r="K4" s="55">
        <v>33.020000000000003</v>
      </c>
      <c r="L4" s="55">
        <v>-112.55</v>
      </c>
      <c r="N4">
        <v>1453</v>
      </c>
    </row>
    <row r="5" spans="1:31" x14ac:dyDescent="0.35">
      <c r="A5">
        <v>1</v>
      </c>
      <c r="B5">
        <v>7</v>
      </c>
      <c r="C5">
        <v>10</v>
      </c>
      <c r="D5" t="s">
        <v>2</v>
      </c>
      <c r="E5">
        <v>87</v>
      </c>
      <c r="I5">
        <v>4</v>
      </c>
      <c r="J5" t="s">
        <v>10</v>
      </c>
      <c r="K5" s="55">
        <v>34.119999999999997</v>
      </c>
      <c r="L5" s="55">
        <v>-100.14</v>
      </c>
      <c r="N5">
        <v>1462</v>
      </c>
    </row>
    <row r="6" spans="1:31" x14ac:dyDescent="0.35">
      <c r="A6">
        <v>2</v>
      </c>
      <c r="B6">
        <v>1</v>
      </c>
      <c r="C6">
        <v>8</v>
      </c>
      <c r="D6" t="s">
        <v>0</v>
      </c>
      <c r="E6">
        <v>100</v>
      </c>
      <c r="I6">
        <v>5</v>
      </c>
      <c r="J6" t="s">
        <v>11</v>
      </c>
      <c r="K6" s="55">
        <v>39.86</v>
      </c>
      <c r="L6" s="55">
        <v>-105.08</v>
      </c>
      <c r="N6">
        <v>1200</v>
      </c>
      <c r="R6" s="41" t="s">
        <v>33</v>
      </c>
      <c r="S6" s="41"/>
      <c r="T6" s="41"/>
      <c r="U6" s="59">
        <f>SUMPRODUCT(H14:H37,V14:V37)</f>
        <v>108396.46036616189</v>
      </c>
    </row>
    <row r="7" spans="1:31" x14ac:dyDescent="0.35">
      <c r="A7">
        <v>2</v>
      </c>
      <c r="B7">
        <v>5</v>
      </c>
      <c r="C7">
        <v>20</v>
      </c>
      <c r="D7" t="s">
        <v>3</v>
      </c>
      <c r="E7">
        <v>105</v>
      </c>
      <c r="I7">
        <v>6</v>
      </c>
      <c r="J7" t="s">
        <v>12</v>
      </c>
      <c r="K7" s="55">
        <v>40.81</v>
      </c>
      <c r="L7" s="55">
        <v>-110.66</v>
      </c>
      <c r="N7">
        <v>1549</v>
      </c>
      <c r="R7" s="41" t="s">
        <v>34</v>
      </c>
      <c r="S7" s="41"/>
      <c r="T7" s="41"/>
      <c r="U7" s="60">
        <f>SUMPRODUCT(H14:H37,R14:R37)</f>
        <v>80239.932773000284</v>
      </c>
    </row>
    <row r="8" spans="1:31" x14ac:dyDescent="0.35">
      <c r="A8">
        <v>3</v>
      </c>
      <c r="B8">
        <v>2</v>
      </c>
      <c r="C8">
        <v>9</v>
      </c>
      <c r="D8" t="s">
        <v>0</v>
      </c>
      <c r="E8">
        <v>83</v>
      </c>
      <c r="I8">
        <v>7</v>
      </c>
      <c r="J8" t="s">
        <v>13</v>
      </c>
      <c r="K8" s="55">
        <v>38.06</v>
      </c>
      <c r="L8" s="55">
        <v>-108.82</v>
      </c>
      <c r="N8">
        <v>1517</v>
      </c>
      <c r="R8" s="41" t="s">
        <v>40</v>
      </c>
      <c r="S8" s="41"/>
      <c r="T8" s="41"/>
      <c r="U8" s="60">
        <f>SUMPRODUCT(H14:H37,S14:S37)</f>
        <v>7607.0088075195772</v>
      </c>
    </row>
    <row r="9" spans="1:31" x14ac:dyDescent="0.35">
      <c r="A9">
        <v>3</v>
      </c>
      <c r="B9">
        <v>5</v>
      </c>
      <c r="C9">
        <v>16</v>
      </c>
      <c r="D9" t="s">
        <v>4</v>
      </c>
      <c r="E9">
        <v>92</v>
      </c>
      <c r="R9" s="41" t="s">
        <v>54</v>
      </c>
      <c r="S9" s="41"/>
      <c r="T9" s="41"/>
      <c r="U9" s="60">
        <f>SUMPRODUCT(H14:H37,U14:U37)</f>
        <v>8935.5044037597891</v>
      </c>
    </row>
    <row r="10" spans="1:31" x14ac:dyDescent="0.35">
      <c r="A10">
        <v>3</v>
      </c>
      <c r="B10">
        <v>7</v>
      </c>
      <c r="C10">
        <v>13</v>
      </c>
      <c r="D10" t="s">
        <v>3</v>
      </c>
      <c r="E10">
        <v>29</v>
      </c>
      <c r="L10" s="31"/>
      <c r="M10" s="31"/>
      <c r="N10" s="31"/>
      <c r="O10" s="31"/>
    </row>
    <row r="11" spans="1:31" x14ac:dyDescent="0.35">
      <c r="A11">
        <v>4</v>
      </c>
      <c r="B11">
        <v>1</v>
      </c>
      <c r="C11">
        <v>19</v>
      </c>
      <c r="D11" t="s">
        <v>5</v>
      </c>
      <c r="E11">
        <v>28</v>
      </c>
    </row>
    <row r="12" spans="1:31" ht="15" thickBot="1" x14ac:dyDescent="0.4">
      <c r="A12">
        <v>4</v>
      </c>
      <c r="B12">
        <v>2</v>
      </c>
      <c r="C12">
        <v>23</v>
      </c>
      <c r="D12" t="s">
        <v>6</v>
      </c>
      <c r="E12">
        <v>87</v>
      </c>
    </row>
    <row r="13" spans="1:31" ht="15" thickBot="1" x14ac:dyDescent="0.4">
      <c r="A13">
        <v>4</v>
      </c>
      <c r="B13">
        <v>3</v>
      </c>
      <c r="C13">
        <v>14</v>
      </c>
      <c r="D13" t="s">
        <v>2</v>
      </c>
      <c r="E13">
        <v>20</v>
      </c>
      <c r="H13" s="45" t="s">
        <v>25</v>
      </c>
      <c r="I13" s="46" t="s">
        <v>14</v>
      </c>
      <c r="J13" s="19"/>
      <c r="K13" s="20" t="s">
        <v>15</v>
      </c>
      <c r="L13" s="20"/>
      <c r="M13" s="21" t="s">
        <v>23</v>
      </c>
      <c r="N13" s="23" t="s">
        <v>38</v>
      </c>
      <c r="O13" s="23" t="s">
        <v>39</v>
      </c>
      <c r="P13" s="22" t="s">
        <v>36</v>
      </c>
      <c r="Q13" s="22" t="s">
        <v>37</v>
      </c>
      <c r="R13" s="27" t="s">
        <v>35</v>
      </c>
      <c r="S13" s="33" t="s">
        <v>42</v>
      </c>
      <c r="T13" s="47" t="s">
        <v>22</v>
      </c>
      <c r="U13" s="48" t="s">
        <v>49</v>
      </c>
      <c r="V13" s="34" t="s">
        <v>26</v>
      </c>
      <c r="X13" s="15" t="s">
        <v>27</v>
      </c>
      <c r="Y13" s="16"/>
      <c r="Z13" s="4" t="s">
        <v>17</v>
      </c>
      <c r="AA13" s="4" t="s">
        <v>18</v>
      </c>
      <c r="AB13" s="4" t="s">
        <v>28</v>
      </c>
      <c r="AC13" s="4" t="s">
        <v>29</v>
      </c>
      <c r="AD13" s="4" t="s">
        <v>30</v>
      </c>
      <c r="AE13" s="3" t="s">
        <v>31</v>
      </c>
    </row>
    <row r="14" spans="1:31" x14ac:dyDescent="0.35">
      <c r="A14">
        <v>4</v>
      </c>
      <c r="B14">
        <v>6</v>
      </c>
      <c r="C14">
        <v>5</v>
      </c>
      <c r="D14" t="s">
        <v>1</v>
      </c>
      <c r="E14">
        <v>77</v>
      </c>
      <c r="H14" s="61">
        <v>1717</v>
      </c>
      <c r="I14" s="6">
        <v>1</v>
      </c>
      <c r="J14" s="5" t="str">
        <f>VLOOKUP(I14,$X$14:$Y$20,2,0)</f>
        <v>Choco Volcano</v>
      </c>
      <c r="K14" s="5">
        <v>2</v>
      </c>
      <c r="L14" s="5" t="str">
        <f>_xlfn.XLOOKUP(K14,$X$14:$X$20,$Y$14:$Y$20)</f>
        <v>Cocoa Bean Crater</v>
      </c>
      <c r="M14" s="5" t="s">
        <v>0</v>
      </c>
      <c r="N14" s="5">
        <f>_xlfn.XLOOKUP(J14,$Y$14:$Y$20,$Z$14:$Z$20)</f>
        <v>37.5</v>
      </c>
      <c r="O14" s="5">
        <f>_xlfn.XLOOKUP(J14,$Y$14:$Y$20,$AA$14:$AA$20)</f>
        <v>-102.5</v>
      </c>
      <c r="P14" s="5">
        <f>_xlfn.XLOOKUP(L14,$Y$14:$Y$20,$Z$14:$Z$20)</f>
        <v>34.4</v>
      </c>
      <c r="Q14" s="5">
        <f>_xlfn.XLOOKUP(L14,$Y$14:$Y$20,$AA$14:$AA$20)</f>
        <v>-95.88</v>
      </c>
      <c r="R14" s="14">
        <f>SQRT((P14-N14)^2+(Q14-O14)^2)</f>
        <v>7.3098837200054056</v>
      </c>
      <c r="S14" s="5">
        <f>IF(OR(M14="Wind-powered Ships", M14="Electrified Rail", M14="Electric/Hybrid Trucks"), 0, 1)</f>
        <v>1</v>
      </c>
      <c r="T14" s="51">
        <v>103</v>
      </c>
      <c r="U14" s="5">
        <f>IF(OR(T14&gt;=$F$2), 1, 0)</f>
        <v>1</v>
      </c>
      <c r="V14" s="35">
        <v>13</v>
      </c>
      <c r="X14" s="6">
        <v>1</v>
      </c>
      <c r="Y14" s="5" t="s">
        <v>7</v>
      </c>
      <c r="Z14" s="5">
        <v>37.5</v>
      </c>
      <c r="AA14" s="5">
        <v>-102.5</v>
      </c>
      <c r="AB14" s="5">
        <f>SUMIF($K$14:$K$37,X14,$H$14:$H$37)</f>
        <v>0</v>
      </c>
      <c r="AC14" s="5">
        <f>SUMIF($I$14:$I$37,X14,$H$14:$H$37)</f>
        <v>8898</v>
      </c>
      <c r="AD14" s="5">
        <f>AB14-AC14</f>
        <v>-8898</v>
      </c>
      <c r="AE14" s="7">
        <v>-8898</v>
      </c>
    </row>
    <row r="15" spans="1:31" x14ac:dyDescent="0.35">
      <c r="A15">
        <v>4</v>
      </c>
      <c r="B15">
        <v>7</v>
      </c>
      <c r="C15">
        <v>23</v>
      </c>
      <c r="D15" t="s">
        <v>2</v>
      </c>
      <c r="E15">
        <v>73</v>
      </c>
      <c r="H15" s="61">
        <v>2786.5044037597886</v>
      </c>
      <c r="I15" s="9">
        <v>1</v>
      </c>
      <c r="J15" s="8" t="str">
        <f>VLOOKUP(I15,$X$14:$Y$20,2,0)</f>
        <v>Choco Volcano</v>
      </c>
      <c r="K15" s="8">
        <v>5</v>
      </c>
      <c r="L15" s="8" t="str">
        <f>_xlfn.XLOOKUP(K15,$X$14:$X$20,$Y$14:$Y$20)</f>
        <v>Malted Milk Manor</v>
      </c>
      <c r="M15" s="8" t="s">
        <v>0</v>
      </c>
      <c r="N15" s="18">
        <f t="shared" ref="N15:N37" si="0">_xlfn.XLOOKUP(J15,$Y$14:$Y$20,$Z$14:$Z$20)</f>
        <v>37.5</v>
      </c>
      <c r="O15" s="18">
        <f t="shared" ref="O15:O37" si="1">_xlfn.XLOOKUP(J15,$Y$14:$Y$20,$AA$14:$AA$20)</f>
        <v>-102.5</v>
      </c>
      <c r="P15" s="18">
        <f t="shared" ref="P15:P37" si="2">_xlfn.XLOOKUP(L15,$Y$14:$Y$20,$Z$14:$Z$20)</f>
        <v>39.86</v>
      </c>
      <c r="Q15" s="18">
        <f t="shared" ref="Q15:Q37" si="3">_xlfn.XLOOKUP(L15,$Y$14:$Y$20,$AA$14:$AA$20)</f>
        <v>-105.08</v>
      </c>
      <c r="R15" s="17">
        <f t="shared" ref="R15:R37" si="4">SQRT((P15-N15)^2+(Q15-O15)^2)</f>
        <v>3.4965697476240893</v>
      </c>
      <c r="S15" s="8">
        <f t="shared" ref="S15:S37" si="5">IF(OR(M15="Wind-powered Ships", M15="Electrified Rail", M15="Electric/Hybrid Trucks"), 0, 1)</f>
        <v>1</v>
      </c>
      <c r="T15" s="39">
        <v>83</v>
      </c>
      <c r="U15" s="18">
        <f t="shared" ref="U15:U37" si="6">IF(OR(T15&gt;=$F$2), 1, 0)</f>
        <v>1</v>
      </c>
      <c r="V15" s="36">
        <v>6</v>
      </c>
      <c r="X15" s="9">
        <v>2</v>
      </c>
      <c r="Y15" s="8" t="s">
        <v>8</v>
      </c>
      <c r="Z15" s="8">
        <v>34.4</v>
      </c>
      <c r="AA15" s="8">
        <v>-95.88</v>
      </c>
      <c r="AB15" s="8">
        <f>SUMIF($K$14:$K$37,X15,$H$14:$H$37)</f>
        <v>1717</v>
      </c>
      <c r="AC15" s="8">
        <f>SUMIF($I$14:$I$37,X15,$H$14:$H$37)</f>
        <v>0</v>
      </c>
      <c r="AD15" s="8">
        <f t="shared" ref="AD15:AD21" si="7">AB15-AC15</f>
        <v>1717</v>
      </c>
      <c r="AE15" s="10">
        <v>1717</v>
      </c>
    </row>
    <row r="16" spans="1:31" x14ac:dyDescent="0.35">
      <c r="A16">
        <v>5</v>
      </c>
      <c r="B16">
        <v>1</v>
      </c>
      <c r="C16">
        <v>9</v>
      </c>
      <c r="D16" t="s">
        <v>3</v>
      </c>
      <c r="E16">
        <v>35</v>
      </c>
      <c r="H16" s="61">
        <v>2877.4955962402114</v>
      </c>
      <c r="I16" s="9">
        <v>1</v>
      </c>
      <c r="J16" s="8" t="str">
        <f>VLOOKUP(I16,$X$14:$Y$20,2,0)</f>
        <v>Choco Volcano</v>
      </c>
      <c r="K16" s="8">
        <v>6</v>
      </c>
      <c r="L16" s="8" t="str">
        <f>_xlfn.XLOOKUP(K16,$X$14:$X$20,$Y$14:$Y$20)</f>
        <v>Peppermint Peninsula</v>
      </c>
      <c r="M16" s="30" t="s">
        <v>1</v>
      </c>
      <c r="N16" s="18">
        <f t="shared" si="0"/>
        <v>37.5</v>
      </c>
      <c r="O16" s="18">
        <f t="shared" si="1"/>
        <v>-102.5</v>
      </c>
      <c r="P16" s="18">
        <f t="shared" si="2"/>
        <v>40.81</v>
      </c>
      <c r="Q16" s="18">
        <f t="shared" si="3"/>
        <v>-110.66</v>
      </c>
      <c r="R16" s="17">
        <f t="shared" si="4"/>
        <v>8.8057765131758803</v>
      </c>
      <c r="S16" s="8">
        <f t="shared" si="5"/>
        <v>0</v>
      </c>
      <c r="T16" s="39">
        <v>31</v>
      </c>
      <c r="U16" s="18">
        <f t="shared" si="6"/>
        <v>0</v>
      </c>
      <c r="V16" s="36">
        <v>8</v>
      </c>
      <c r="X16" s="9">
        <v>3</v>
      </c>
      <c r="Y16" s="8" t="s">
        <v>9</v>
      </c>
      <c r="Z16" s="8">
        <v>33.020000000000003</v>
      </c>
      <c r="AA16" s="8">
        <v>-112.55</v>
      </c>
      <c r="AB16" s="8">
        <f>SUMIF($K$14:$K$37,X16,$H$14:$H$37)</f>
        <v>1453</v>
      </c>
      <c r="AC16" s="8">
        <f>SUMIF($I$14:$I$37,X16,$H$14:$H$37)</f>
        <v>0</v>
      </c>
      <c r="AD16" s="8">
        <f t="shared" si="7"/>
        <v>1453</v>
      </c>
      <c r="AE16" s="10">
        <v>1453</v>
      </c>
    </row>
    <row r="17" spans="1:31" x14ac:dyDescent="0.35">
      <c r="A17">
        <v>5</v>
      </c>
      <c r="B17">
        <v>2</v>
      </c>
      <c r="C17">
        <v>17</v>
      </c>
      <c r="D17" t="s">
        <v>0</v>
      </c>
      <c r="E17">
        <v>89</v>
      </c>
      <c r="H17" s="61">
        <v>1517</v>
      </c>
      <c r="I17" s="9">
        <v>1</v>
      </c>
      <c r="J17" s="8" t="str">
        <f>VLOOKUP(I17,$X$14:$Y$20,2,0)</f>
        <v>Choco Volcano</v>
      </c>
      <c r="K17" s="8">
        <v>7</v>
      </c>
      <c r="L17" s="8" t="str">
        <f>_xlfn.XLOOKUP(K17,$X$14:$X$20,$Y$14:$Y$20)</f>
        <v>Rainbow Ribbon Roads</v>
      </c>
      <c r="M17" s="8" t="s">
        <v>2</v>
      </c>
      <c r="N17" s="18">
        <f t="shared" si="0"/>
        <v>37.5</v>
      </c>
      <c r="O17" s="18">
        <f t="shared" si="1"/>
        <v>-102.5</v>
      </c>
      <c r="P17" s="18">
        <f t="shared" si="2"/>
        <v>38.06</v>
      </c>
      <c r="Q17" s="18">
        <f t="shared" si="3"/>
        <v>-108.82</v>
      </c>
      <c r="R17" s="17">
        <f t="shared" si="4"/>
        <v>6.3447616188474658</v>
      </c>
      <c r="S17" s="8">
        <f t="shared" si="5"/>
        <v>1</v>
      </c>
      <c r="T17" s="39">
        <v>87</v>
      </c>
      <c r="U17" s="18">
        <f t="shared" si="6"/>
        <v>1</v>
      </c>
      <c r="V17" s="36">
        <v>10</v>
      </c>
      <c r="X17" s="9">
        <v>4</v>
      </c>
      <c r="Y17" s="8" t="s">
        <v>10</v>
      </c>
      <c r="Z17" s="8">
        <v>34.119999999999997</v>
      </c>
      <c r="AA17" s="8">
        <v>-100.14</v>
      </c>
      <c r="AB17" s="8">
        <f>SUMIF($K$14:$K$37,X17,$H$14:$H$37)</f>
        <v>1462</v>
      </c>
      <c r="AC17" s="8">
        <f>SUMIF($I$14:$I$37,X17,$H$14:$H$37)</f>
        <v>0</v>
      </c>
      <c r="AD17" s="8">
        <f t="shared" si="7"/>
        <v>1462</v>
      </c>
      <c r="AE17" s="10">
        <v>1462</v>
      </c>
    </row>
    <row r="18" spans="1:31" x14ac:dyDescent="0.35">
      <c r="A18">
        <v>5</v>
      </c>
      <c r="B18">
        <v>3</v>
      </c>
      <c r="C18">
        <v>7</v>
      </c>
      <c r="D18" t="s">
        <v>2</v>
      </c>
      <c r="E18">
        <v>77</v>
      </c>
      <c r="H18" s="61">
        <v>0</v>
      </c>
      <c r="I18" s="9">
        <v>2</v>
      </c>
      <c r="J18" s="8" t="str">
        <f>VLOOKUP(I18,$X$14:$Y$20,2,0)</f>
        <v>Cocoa Bean Crater</v>
      </c>
      <c r="K18" s="8">
        <v>1</v>
      </c>
      <c r="L18" s="8" t="str">
        <f>_xlfn.XLOOKUP(K18,$X$14:$X$20,$Y$14:$Y$20)</f>
        <v>Choco Volcano</v>
      </c>
      <c r="M18" s="8" t="s">
        <v>0</v>
      </c>
      <c r="N18" s="18">
        <f t="shared" si="0"/>
        <v>34.4</v>
      </c>
      <c r="O18" s="18">
        <f t="shared" si="1"/>
        <v>-95.88</v>
      </c>
      <c r="P18" s="18">
        <f t="shared" si="2"/>
        <v>37.5</v>
      </c>
      <c r="Q18" s="18">
        <f t="shared" si="3"/>
        <v>-102.5</v>
      </c>
      <c r="R18" s="17">
        <f t="shared" si="4"/>
        <v>7.3098837200054056</v>
      </c>
      <c r="S18" s="8">
        <f t="shared" si="5"/>
        <v>1</v>
      </c>
      <c r="T18" s="39">
        <v>100</v>
      </c>
      <c r="U18" s="18">
        <f t="shared" si="6"/>
        <v>1</v>
      </c>
      <c r="V18" s="36">
        <v>8</v>
      </c>
      <c r="X18" s="9">
        <v>5</v>
      </c>
      <c r="Y18" s="8" t="s">
        <v>11</v>
      </c>
      <c r="Z18" s="8">
        <v>39.86</v>
      </c>
      <c r="AA18" s="8">
        <v>-105.08</v>
      </c>
      <c r="AB18" s="8">
        <f>SUMIF($K$14:$K$37,X18,$H$14:$H$37)</f>
        <v>2786.5044037597886</v>
      </c>
      <c r="AC18" s="8">
        <f>SUMIF($I$14:$I$37,X18,$H$14:$H$37)</f>
        <v>1586.5044037597886</v>
      </c>
      <c r="AD18" s="8">
        <f t="shared" si="7"/>
        <v>1200</v>
      </c>
      <c r="AE18" s="10">
        <v>1200</v>
      </c>
    </row>
    <row r="19" spans="1:31" x14ac:dyDescent="0.35">
      <c r="A19">
        <v>5</v>
      </c>
      <c r="B19">
        <v>4</v>
      </c>
      <c r="C19">
        <v>8</v>
      </c>
      <c r="D19" t="s">
        <v>2</v>
      </c>
      <c r="E19">
        <v>76</v>
      </c>
      <c r="H19" s="61">
        <v>0</v>
      </c>
      <c r="I19" s="9">
        <v>2</v>
      </c>
      <c r="J19" s="8" t="str">
        <f>VLOOKUP(I19,$X$14:$Y$20,2,0)</f>
        <v>Cocoa Bean Crater</v>
      </c>
      <c r="K19" s="8">
        <v>5</v>
      </c>
      <c r="L19" s="8" t="str">
        <f>_xlfn.XLOOKUP(K19,$X$14:$X$20,$Y$14:$Y$20)</f>
        <v>Malted Milk Manor</v>
      </c>
      <c r="M19" s="8" t="s">
        <v>3</v>
      </c>
      <c r="N19" s="18">
        <f t="shared" si="0"/>
        <v>34.4</v>
      </c>
      <c r="O19" s="18">
        <f t="shared" si="1"/>
        <v>-95.88</v>
      </c>
      <c r="P19" s="18">
        <f t="shared" si="2"/>
        <v>39.86</v>
      </c>
      <c r="Q19" s="18">
        <f t="shared" si="3"/>
        <v>-105.08</v>
      </c>
      <c r="R19" s="17">
        <f t="shared" si="4"/>
        <v>10.698205456991376</v>
      </c>
      <c r="S19" s="8">
        <f t="shared" si="5"/>
        <v>1</v>
      </c>
      <c r="T19" s="39">
        <v>105</v>
      </c>
      <c r="U19" s="18">
        <f t="shared" si="6"/>
        <v>1</v>
      </c>
      <c r="V19" s="36">
        <v>20</v>
      </c>
      <c r="X19" s="9">
        <v>6</v>
      </c>
      <c r="Y19" s="8" t="s">
        <v>12</v>
      </c>
      <c r="Z19" s="8">
        <v>40.81</v>
      </c>
      <c r="AA19" s="8">
        <v>-110.66</v>
      </c>
      <c r="AB19" s="8">
        <f>SUMIF($K$14:$K$37,X19,$H$14:$H$37)</f>
        <v>2877.4955962402114</v>
      </c>
      <c r="AC19" s="8">
        <f>SUMIF($I$14:$I$37,X19,$H$14:$H$37)</f>
        <v>1328.4955962402114</v>
      </c>
      <c r="AD19" s="8">
        <f t="shared" si="7"/>
        <v>1549</v>
      </c>
      <c r="AE19" s="10">
        <v>1549</v>
      </c>
    </row>
    <row r="20" spans="1:31" ht="15" thickBot="1" x14ac:dyDescent="0.4">
      <c r="A20">
        <v>5</v>
      </c>
      <c r="B20">
        <v>6</v>
      </c>
      <c r="C20">
        <v>7</v>
      </c>
      <c r="D20" t="s">
        <v>2</v>
      </c>
      <c r="E20">
        <v>90</v>
      </c>
      <c r="H20" s="61">
        <v>0</v>
      </c>
      <c r="I20" s="9">
        <v>3</v>
      </c>
      <c r="J20" s="8" t="str">
        <f>VLOOKUP(I20,$X$14:$Y$20,2,0)</f>
        <v>Gooey Ganache Grotto</v>
      </c>
      <c r="K20" s="8">
        <v>2</v>
      </c>
      <c r="L20" s="8" t="str">
        <f>_xlfn.XLOOKUP(K20,$X$14:$X$20,$Y$14:$Y$20)</f>
        <v>Cocoa Bean Crater</v>
      </c>
      <c r="M20" s="8" t="s">
        <v>0</v>
      </c>
      <c r="N20" s="18">
        <f t="shared" si="0"/>
        <v>33.020000000000003</v>
      </c>
      <c r="O20" s="18">
        <f t="shared" si="1"/>
        <v>-112.55</v>
      </c>
      <c r="P20" s="18">
        <f t="shared" si="2"/>
        <v>34.4</v>
      </c>
      <c r="Q20" s="18">
        <f t="shared" si="3"/>
        <v>-95.88</v>
      </c>
      <c r="R20" s="17">
        <f t="shared" si="4"/>
        <v>16.727023046555537</v>
      </c>
      <c r="S20" s="8">
        <f t="shared" si="5"/>
        <v>1</v>
      </c>
      <c r="T20" s="39">
        <v>83</v>
      </c>
      <c r="U20" s="18">
        <f t="shared" si="6"/>
        <v>1</v>
      </c>
      <c r="V20" s="36">
        <v>9</v>
      </c>
      <c r="X20" s="11">
        <v>7</v>
      </c>
      <c r="Y20" s="12" t="s">
        <v>13</v>
      </c>
      <c r="Z20" s="12">
        <v>38.06</v>
      </c>
      <c r="AA20" s="12">
        <v>-108.82</v>
      </c>
      <c r="AB20" s="12">
        <f>SUMIF($K$14:$K$37,X20,$H$14:$H$37)</f>
        <v>1517</v>
      </c>
      <c r="AC20" s="12">
        <f>SUMIF($I$14:$I$37,X20,$H$14:$H$37)</f>
        <v>0</v>
      </c>
      <c r="AD20" s="12">
        <f t="shared" si="7"/>
        <v>1517</v>
      </c>
      <c r="AE20" s="13">
        <v>1517</v>
      </c>
    </row>
    <row r="21" spans="1:31" x14ac:dyDescent="0.35">
      <c r="A21">
        <v>6</v>
      </c>
      <c r="B21">
        <v>3</v>
      </c>
      <c r="C21">
        <v>14</v>
      </c>
      <c r="D21" t="s">
        <v>1</v>
      </c>
      <c r="E21">
        <v>90</v>
      </c>
      <c r="H21" s="61">
        <v>0</v>
      </c>
      <c r="I21" s="9">
        <v>3</v>
      </c>
      <c r="J21" s="8" t="str">
        <f>VLOOKUP(I21,$X$14:$Y$20,2,0)</f>
        <v>Gooey Ganache Grotto</v>
      </c>
      <c r="K21" s="8">
        <v>5</v>
      </c>
      <c r="L21" s="8" t="str">
        <f>_xlfn.XLOOKUP(K21,$X$14:$X$20,$Y$14:$Y$20)</f>
        <v>Malted Milk Manor</v>
      </c>
      <c r="M21" s="30" t="s">
        <v>4</v>
      </c>
      <c r="N21" s="18">
        <f t="shared" si="0"/>
        <v>33.020000000000003</v>
      </c>
      <c r="O21" s="18">
        <f t="shared" si="1"/>
        <v>-112.55</v>
      </c>
      <c r="P21" s="18">
        <f t="shared" si="2"/>
        <v>39.86</v>
      </c>
      <c r="Q21" s="18">
        <f t="shared" si="3"/>
        <v>-105.08</v>
      </c>
      <c r="R21" s="17">
        <f t="shared" si="4"/>
        <v>10.128499395270749</v>
      </c>
      <c r="S21" s="8">
        <f t="shared" si="5"/>
        <v>0</v>
      </c>
      <c r="T21" s="39">
        <v>92</v>
      </c>
      <c r="U21" s="18">
        <f t="shared" si="6"/>
        <v>1</v>
      </c>
      <c r="V21" s="36">
        <v>16</v>
      </c>
    </row>
    <row r="22" spans="1:31" x14ac:dyDescent="0.35">
      <c r="A22">
        <v>7</v>
      </c>
      <c r="B22">
        <v>2</v>
      </c>
      <c r="C22">
        <v>24</v>
      </c>
      <c r="D22" t="s">
        <v>3</v>
      </c>
      <c r="E22">
        <v>31</v>
      </c>
      <c r="H22" s="61">
        <v>0</v>
      </c>
      <c r="I22" s="9">
        <v>3</v>
      </c>
      <c r="J22" s="8" t="str">
        <f>VLOOKUP(I22,$X$14:$Y$20,2,0)</f>
        <v>Gooey Ganache Grotto</v>
      </c>
      <c r="K22" s="8">
        <v>7</v>
      </c>
      <c r="L22" s="8" t="str">
        <f>_xlfn.XLOOKUP(K22,$X$14:$X$20,$Y$14:$Y$20)</f>
        <v>Rainbow Ribbon Roads</v>
      </c>
      <c r="M22" s="8" t="s">
        <v>3</v>
      </c>
      <c r="N22" s="18">
        <f t="shared" si="0"/>
        <v>33.020000000000003</v>
      </c>
      <c r="O22" s="18">
        <f t="shared" si="1"/>
        <v>-112.55</v>
      </c>
      <c r="P22" s="18">
        <f t="shared" si="2"/>
        <v>38.06</v>
      </c>
      <c r="Q22" s="18">
        <f t="shared" si="3"/>
        <v>-108.82</v>
      </c>
      <c r="R22" s="17">
        <f t="shared" si="4"/>
        <v>6.2701275904083502</v>
      </c>
      <c r="S22" s="8">
        <f t="shared" si="5"/>
        <v>1</v>
      </c>
      <c r="T22" s="39">
        <v>29</v>
      </c>
      <c r="U22" s="18">
        <f t="shared" si="6"/>
        <v>0</v>
      </c>
      <c r="V22" s="36">
        <v>13</v>
      </c>
    </row>
    <row r="23" spans="1:31" x14ac:dyDescent="0.35">
      <c r="A23">
        <v>7</v>
      </c>
      <c r="B23">
        <v>3</v>
      </c>
      <c r="C23">
        <v>13</v>
      </c>
      <c r="D23" t="s">
        <v>3</v>
      </c>
      <c r="E23">
        <v>88</v>
      </c>
      <c r="H23" s="61">
        <v>0</v>
      </c>
      <c r="I23" s="9">
        <v>4</v>
      </c>
      <c r="J23" s="8" t="str">
        <f>VLOOKUP(I23,$X$14:$Y$20,2,0)</f>
        <v>Honeysuckle Hollow</v>
      </c>
      <c r="K23" s="8">
        <v>1</v>
      </c>
      <c r="L23" s="8" t="str">
        <f>_xlfn.XLOOKUP(K23,$X$14:$X$20,$Y$14:$Y$20)</f>
        <v>Choco Volcano</v>
      </c>
      <c r="M23" s="30" t="s">
        <v>5</v>
      </c>
      <c r="N23" s="18">
        <f t="shared" si="0"/>
        <v>34.119999999999997</v>
      </c>
      <c r="O23" s="18">
        <f t="shared" si="1"/>
        <v>-100.14</v>
      </c>
      <c r="P23" s="18">
        <f t="shared" si="2"/>
        <v>37.5</v>
      </c>
      <c r="Q23" s="18">
        <f t="shared" si="3"/>
        <v>-102.5</v>
      </c>
      <c r="R23" s="17">
        <f t="shared" si="4"/>
        <v>4.1223779545306147</v>
      </c>
      <c r="S23" s="8">
        <f t="shared" si="5"/>
        <v>0</v>
      </c>
      <c r="T23" s="39">
        <v>28</v>
      </c>
      <c r="U23" s="18">
        <f t="shared" si="6"/>
        <v>0</v>
      </c>
      <c r="V23" s="36">
        <v>19</v>
      </c>
      <c r="X23" s="32" t="s">
        <v>41</v>
      </c>
      <c r="Y23" s="32"/>
      <c r="Z23" s="24" t="s">
        <v>44</v>
      </c>
      <c r="AA23" s="24" t="s">
        <v>43</v>
      </c>
      <c r="AB23" s="24" t="s">
        <v>45</v>
      </c>
      <c r="AC23" s="24" t="s">
        <v>46</v>
      </c>
      <c r="AD23" s="24" t="s">
        <v>47</v>
      </c>
      <c r="AE23" s="24" t="s">
        <v>48</v>
      </c>
    </row>
    <row r="24" spans="1:31" x14ac:dyDescent="0.35">
      <c r="A24">
        <v>7</v>
      </c>
      <c r="B24">
        <v>5</v>
      </c>
      <c r="C24">
        <v>11</v>
      </c>
      <c r="D24" t="s">
        <v>6</v>
      </c>
      <c r="E24">
        <v>38</v>
      </c>
      <c r="H24" s="61">
        <v>0</v>
      </c>
      <c r="I24" s="9">
        <v>4</v>
      </c>
      <c r="J24" s="8" t="str">
        <f>VLOOKUP(I24,$X$14:$Y$20,2,0)</f>
        <v>Honeysuckle Hollow</v>
      </c>
      <c r="K24" s="8">
        <v>2</v>
      </c>
      <c r="L24" s="8" t="str">
        <f>_xlfn.XLOOKUP(K24,$X$14:$X$20,$Y$14:$Y$20)</f>
        <v>Cocoa Bean Crater</v>
      </c>
      <c r="M24" s="8" t="s">
        <v>6</v>
      </c>
      <c r="N24" s="18">
        <f t="shared" si="0"/>
        <v>34.119999999999997</v>
      </c>
      <c r="O24" s="18">
        <f t="shared" si="1"/>
        <v>-100.14</v>
      </c>
      <c r="P24" s="18">
        <f t="shared" si="2"/>
        <v>34.4</v>
      </c>
      <c r="Q24" s="18">
        <f t="shared" si="3"/>
        <v>-95.88</v>
      </c>
      <c r="R24" s="17">
        <f t="shared" si="4"/>
        <v>4.2691919610155793</v>
      </c>
      <c r="S24" s="8">
        <f t="shared" si="5"/>
        <v>1</v>
      </c>
      <c r="T24" s="39">
        <v>87</v>
      </c>
      <c r="U24" s="18">
        <f t="shared" si="6"/>
        <v>1</v>
      </c>
      <c r="V24" s="36">
        <v>23</v>
      </c>
      <c r="Y24" s="26" t="s">
        <v>33</v>
      </c>
      <c r="Z24" s="59">
        <f>SUMPRODUCT(H14:H37,V14:V37)</f>
        <v>108396.46036616189</v>
      </c>
      <c r="AA24" s="53">
        <v>96440</v>
      </c>
      <c r="AB24" s="42">
        <f>Z24-AA24</f>
        <v>11956.460366161889</v>
      </c>
      <c r="AC24" s="43">
        <f>AB24/AA24</f>
        <v>0.12397822859977073</v>
      </c>
      <c r="AD24" s="25">
        <v>1.25</v>
      </c>
      <c r="AE24" s="44">
        <f>AD24*AC24</f>
        <v>0.1549727857497134</v>
      </c>
    </row>
    <row r="25" spans="1:31" x14ac:dyDescent="0.35">
      <c r="A25">
        <v>7</v>
      </c>
      <c r="B25">
        <v>6</v>
      </c>
      <c r="C25">
        <v>5</v>
      </c>
      <c r="D25" t="s">
        <v>2</v>
      </c>
      <c r="E25">
        <v>110</v>
      </c>
      <c r="H25" s="61">
        <v>0</v>
      </c>
      <c r="I25" s="9">
        <v>4</v>
      </c>
      <c r="J25" s="8" t="str">
        <f>VLOOKUP(I25,$X$14:$Y$20,2,0)</f>
        <v>Honeysuckle Hollow</v>
      </c>
      <c r="K25" s="8">
        <v>3</v>
      </c>
      <c r="L25" s="8" t="str">
        <f>_xlfn.XLOOKUP(K25,$X$14:$X$20,$Y$14:$Y$20)</f>
        <v>Gooey Ganache Grotto</v>
      </c>
      <c r="M25" s="8" t="s">
        <v>2</v>
      </c>
      <c r="N25" s="18">
        <f t="shared" si="0"/>
        <v>34.119999999999997</v>
      </c>
      <c r="O25" s="18">
        <f t="shared" si="1"/>
        <v>-100.14</v>
      </c>
      <c r="P25" s="18">
        <f t="shared" si="2"/>
        <v>33.020000000000003</v>
      </c>
      <c r="Q25" s="18">
        <f t="shared" si="3"/>
        <v>-112.55</v>
      </c>
      <c r="R25" s="17">
        <f t="shared" si="4"/>
        <v>12.458655625708575</v>
      </c>
      <c r="S25" s="8">
        <f t="shared" si="5"/>
        <v>1</v>
      </c>
      <c r="T25" s="39">
        <v>20</v>
      </c>
      <c r="U25" s="18">
        <f t="shared" si="6"/>
        <v>0</v>
      </c>
      <c r="V25" s="37">
        <v>14</v>
      </c>
      <c r="Y25" s="26" t="s">
        <v>34</v>
      </c>
      <c r="Z25" s="60">
        <f>SUMPRODUCT(H14:H37,R14:R37)</f>
        <v>80239.932773000284</v>
      </c>
      <c r="AA25" s="52">
        <v>74525.334305990487</v>
      </c>
      <c r="AB25" s="42">
        <f t="shared" ref="AB25:AB26" si="8">Z25-AA25</f>
        <v>5714.5984670097969</v>
      </c>
      <c r="AC25" s="43">
        <f>AB25/AA25</f>
        <v>7.6679944078431955E-2</v>
      </c>
      <c r="AD25" s="25">
        <v>0.75</v>
      </c>
      <c r="AE25" s="44">
        <f t="shared" ref="AE25:AE26" si="9">AD25*AC25</f>
        <v>5.7509958058823966E-2</v>
      </c>
    </row>
    <row r="26" spans="1:31" x14ac:dyDescent="0.35">
      <c r="H26" s="61">
        <v>0</v>
      </c>
      <c r="I26" s="9">
        <v>4</v>
      </c>
      <c r="J26" s="8" t="str">
        <f>VLOOKUP(I26,$X$14:$Y$20,2,0)</f>
        <v>Honeysuckle Hollow</v>
      </c>
      <c r="K26" s="8">
        <v>6</v>
      </c>
      <c r="L26" s="8" t="str">
        <f>_xlfn.XLOOKUP(K26,$X$14:$X$20,$Y$14:$Y$20)</f>
        <v>Peppermint Peninsula</v>
      </c>
      <c r="M26" s="30" t="s">
        <v>1</v>
      </c>
      <c r="N26" s="18">
        <f t="shared" si="0"/>
        <v>34.119999999999997</v>
      </c>
      <c r="O26" s="18">
        <f t="shared" si="1"/>
        <v>-100.14</v>
      </c>
      <c r="P26" s="18">
        <f t="shared" si="2"/>
        <v>40.81</v>
      </c>
      <c r="Q26" s="18">
        <f t="shared" si="3"/>
        <v>-110.66</v>
      </c>
      <c r="R26" s="17">
        <f t="shared" si="4"/>
        <v>12.467016483505585</v>
      </c>
      <c r="S26" s="8">
        <f t="shared" si="5"/>
        <v>0</v>
      </c>
      <c r="T26" s="39">
        <v>77</v>
      </c>
      <c r="U26" s="18">
        <f t="shared" si="6"/>
        <v>1</v>
      </c>
      <c r="V26" s="37">
        <v>5</v>
      </c>
      <c r="X26" s="2" t="s">
        <v>40</v>
      </c>
      <c r="Y26" s="2"/>
      <c r="Z26" s="60">
        <f>SUMPRODUCT(H14:H37,S14:S37)</f>
        <v>7607.0088075195772</v>
      </c>
      <c r="AA26" s="52">
        <v>4696</v>
      </c>
      <c r="AB26" s="42">
        <f t="shared" si="8"/>
        <v>2911.0088075195772</v>
      </c>
      <c r="AC26" s="43">
        <f t="shared" ref="AC26:AC27" si="10">AB26/AA26</f>
        <v>0.61989114299820636</v>
      </c>
      <c r="AD26" s="25">
        <v>0.25</v>
      </c>
      <c r="AE26" s="44">
        <f t="shared" si="9"/>
        <v>0.15497278574955159</v>
      </c>
    </row>
    <row r="27" spans="1:31" x14ac:dyDescent="0.35">
      <c r="H27" s="61">
        <v>0</v>
      </c>
      <c r="I27" s="9">
        <v>4</v>
      </c>
      <c r="J27" s="8" t="str">
        <f>VLOOKUP(I27,$X$14:$Y$20,2,0)</f>
        <v>Honeysuckle Hollow</v>
      </c>
      <c r="K27" s="8">
        <v>7</v>
      </c>
      <c r="L27" s="8" t="str">
        <f>_xlfn.XLOOKUP(K27,$X$14:$X$20,$Y$14:$Y$20)</f>
        <v>Rainbow Ribbon Roads</v>
      </c>
      <c r="M27" s="8" t="s">
        <v>2</v>
      </c>
      <c r="N27" s="18">
        <f t="shared" si="0"/>
        <v>34.119999999999997</v>
      </c>
      <c r="O27" s="18">
        <f t="shared" si="1"/>
        <v>-100.14</v>
      </c>
      <c r="P27" s="18">
        <f t="shared" si="2"/>
        <v>38.06</v>
      </c>
      <c r="Q27" s="18">
        <f t="shared" si="3"/>
        <v>-108.82</v>
      </c>
      <c r="R27" s="17">
        <f t="shared" si="4"/>
        <v>9.532365918280723</v>
      </c>
      <c r="S27" s="8">
        <f t="shared" si="5"/>
        <v>1</v>
      </c>
      <c r="T27" s="39">
        <v>73</v>
      </c>
      <c r="U27" s="18">
        <f t="shared" si="6"/>
        <v>1</v>
      </c>
      <c r="V27" s="37">
        <v>23</v>
      </c>
      <c r="X27" s="2" t="s">
        <v>54</v>
      </c>
      <c r="Y27" s="2"/>
      <c r="Z27" s="60">
        <f>SUMPRODUCT(H14:H37,U14:U37)</f>
        <v>8935.5044037597891</v>
      </c>
      <c r="AA27" s="54">
        <v>8811</v>
      </c>
      <c r="AB27" s="42">
        <f>Z27-AA27</f>
        <v>124.50440375978906</v>
      </c>
      <c r="AC27" s="43">
        <f t="shared" si="10"/>
        <v>1.4130564494358082E-2</v>
      </c>
      <c r="AD27" s="25">
        <v>1.75</v>
      </c>
      <c r="AE27" s="44">
        <f>AD27*AC27</f>
        <v>2.4728487865126644E-2</v>
      </c>
    </row>
    <row r="28" spans="1:31" x14ac:dyDescent="0.35">
      <c r="H28" s="61">
        <v>0</v>
      </c>
      <c r="I28" s="9">
        <v>5</v>
      </c>
      <c r="J28" s="8" t="str">
        <f>VLOOKUP(I28,$X$14:$Y$20,2,0)</f>
        <v>Malted Milk Manor</v>
      </c>
      <c r="K28" s="8">
        <v>1</v>
      </c>
      <c r="L28" s="8" t="str">
        <f>_xlfn.XLOOKUP(K28,$X$14:$X$20,$Y$14:$Y$20)</f>
        <v>Choco Volcano</v>
      </c>
      <c r="M28" s="8" t="s">
        <v>3</v>
      </c>
      <c r="N28" s="18">
        <f t="shared" si="0"/>
        <v>39.86</v>
      </c>
      <c r="O28" s="18">
        <f t="shared" si="1"/>
        <v>-105.08</v>
      </c>
      <c r="P28" s="18">
        <f t="shared" si="2"/>
        <v>37.5</v>
      </c>
      <c r="Q28" s="18">
        <f t="shared" si="3"/>
        <v>-102.5</v>
      </c>
      <c r="R28" s="17">
        <f t="shared" si="4"/>
        <v>3.4965697476240893</v>
      </c>
      <c r="S28" s="8">
        <f t="shared" si="5"/>
        <v>1</v>
      </c>
      <c r="T28" s="39">
        <v>35</v>
      </c>
      <c r="U28" s="18">
        <f t="shared" si="6"/>
        <v>0</v>
      </c>
      <c r="V28" s="37">
        <v>9</v>
      </c>
      <c r="AB28" s="42"/>
      <c r="AD28">
        <f>SUM(AD24:AD27)</f>
        <v>4</v>
      </c>
    </row>
    <row r="29" spans="1:31" x14ac:dyDescent="0.35">
      <c r="H29" s="61">
        <v>0</v>
      </c>
      <c r="I29" s="9">
        <v>5</v>
      </c>
      <c r="J29" s="8" t="str">
        <f>VLOOKUP(I29,$X$14:$Y$20,2,0)</f>
        <v>Malted Milk Manor</v>
      </c>
      <c r="K29" s="8">
        <v>2</v>
      </c>
      <c r="L29" s="8" t="str">
        <f>_xlfn.XLOOKUP(K29,$X$14:$X$20,$Y$14:$Y$20)</f>
        <v>Cocoa Bean Crater</v>
      </c>
      <c r="M29" s="8" t="s">
        <v>0</v>
      </c>
      <c r="N29" s="18">
        <f t="shared" si="0"/>
        <v>39.86</v>
      </c>
      <c r="O29" s="18">
        <f t="shared" si="1"/>
        <v>-105.08</v>
      </c>
      <c r="P29" s="18">
        <f t="shared" si="2"/>
        <v>34.4</v>
      </c>
      <c r="Q29" s="18">
        <f t="shared" si="3"/>
        <v>-95.88</v>
      </c>
      <c r="R29" s="17">
        <f t="shared" si="4"/>
        <v>10.698205456991376</v>
      </c>
      <c r="S29" s="8">
        <f t="shared" si="5"/>
        <v>1</v>
      </c>
      <c r="T29" s="39">
        <v>89</v>
      </c>
      <c r="U29" s="18">
        <f t="shared" si="6"/>
        <v>1</v>
      </c>
      <c r="V29" s="37">
        <v>17</v>
      </c>
      <c r="X29" s="56" t="s">
        <v>51</v>
      </c>
    </row>
    <row r="30" spans="1:31" x14ac:dyDescent="0.35">
      <c r="H30" s="61">
        <v>124.50440375978857</v>
      </c>
      <c r="I30" s="9">
        <v>5</v>
      </c>
      <c r="J30" s="8" t="str">
        <f>VLOOKUP(I30,$X$14:$Y$20,2,0)</f>
        <v>Malted Milk Manor</v>
      </c>
      <c r="K30" s="8">
        <v>3</v>
      </c>
      <c r="L30" s="8" t="str">
        <f>_xlfn.XLOOKUP(K30,$X$14:$X$20,$Y$14:$Y$20)</f>
        <v>Gooey Ganache Grotto</v>
      </c>
      <c r="M30" s="8" t="s">
        <v>2</v>
      </c>
      <c r="N30" s="18">
        <f t="shared" si="0"/>
        <v>39.86</v>
      </c>
      <c r="O30" s="18">
        <f t="shared" si="1"/>
        <v>-105.08</v>
      </c>
      <c r="P30" s="18">
        <f t="shared" si="2"/>
        <v>33.020000000000003</v>
      </c>
      <c r="Q30" s="18">
        <f t="shared" si="3"/>
        <v>-112.55</v>
      </c>
      <c r="R30" s="17">
        <f t="shared" si="4"/>
        <v>10.128499395270749</v>
      </c>
      <c r="S30" s="8">
        <f t="shared" si="5"/>
        <v>1</v>
      </c>
      <c r="T30" s="39">
        <v>77</v>
      </c>
      <c r="U30" s="18">
        <f t="shared" si="6"/>
        <v>1</v>
      </c>
      <c r="V30" s="37">
        <v>7</v>
      </c>
      <c r="X30" s="57" t="s">
        <v>52</v>
      </c>
      <c r="Y30" s="58">
        <v>0.15497278574955392</v>
      </c>
    </row>
    <row r="31" spans="1:31" x14ac:dyDescent="0.35">
      <c r="H31" s="61">
        <v>1462</v>
      </c>
      <c r="I31" s="9">
        <v>5</v>
      </c>
      <c r="J31" s="8" t="str">
        <f>VLOOKUP(I31,$X$14:$Y$20,2,0)</f>
        <v>Malted Milk Manor</v>
      </c>
      <c r="K31" s="8">
        <v>4</v>
      </c>
      <c r="L31" s="8" t="str">
        <f>_xlfn.XLOOKUP(K31,$X$14:$X$20,$Y$14:$Y$20)</f>
        <v>Honeysuckle Hollow</v>
      </c>
      <c r="M31" s="8" t="s">
        <v>2</v>
      </c>
      <c r="N31" s="18">
        <f t="shared" si="0"/>
        <v>39.86</v>
      </c>
      <c r="O31" s="18">
        <f t="shared" si="1"/>
        <v>-105.08</v>
      </c>
      <c r="P31" s="18">
        <f t="shared" si="2"/>
        <v>34.119999999999997</v>
      </c>
      <c r="Q31" s="18">
        <f t="shared" si="3"/>
        <v>-100.14</v>
      </c>
      <c r="R31" s="17">
        <f t="shared" si="4"/>
        <v>7.5730575067141803</v>
      </c>
      <c r="S31" s="8">
        <f t="shared" si="5"/>
        <v>1</v>
      </c>
      <c r="T31" s="39">
        <v>76</v>
      </c>
      <c r="U31" s="18">
        <f t="shared" si="6"/>
        <v>1</v>
      </c>
      <c r="V31" s="37">
        <v>8</v>
      </c>
    </row>
    <row r="32" spans="1:31" x14ac:dyDescent="0.35">
      <c r="H32" s="61">
        <v>0</v>
      </c>
      <c r="I32" s="9">
        <v>5</v>
      </c>
      <c r="J32" s="8" t="str">
        <f>VLOOKUP(I32,$X$14:$Y$20,2,0)</f>
        <v>Malted Milk Manor</v>
      </c>
      <c r="K32" s="8">
        <v>6</v>
      </c>
      <c r="L32" s="8" t="str">
        <f>_xlfn.XLOOKUP(K32,$X$14:$X$20,$Y$14:$Y$20)</f>
        <v>Peppermint Peninsula</v>
      </c>
      <c r="M32" s="8" t="s">
        <v>2</v>
      </c>
      <c r="N32" s="18">
        <f t="shared" si="0"/>
        <v>39.86</v>
      </c>
      <c r="O32" s="18">
        <f t="shared" si="1"/>
        <v>-105.08</v>
      </c>
      <c r="P32" s="18">
        <f t="shared" si="2"/>
        <v>40.81</v>
      </c>
      <c r="Q32" s="18">
        <f t="shared" si="3"/>
        <v>-110.66</v>
      </c>
      <c r="R32" s="17">
        <f t="shared" si="4"/>
        <v>5.6602915119276309</v>
      </c>
      <c r="S32" s="8">
        <f t="shared" si="5"/>
        <v>1</v>
      </c>
      <c r="T32" s="39">
        <v>90</v>
      </c>
      <c r="U32" s="18">
        <f t="shared" si="6"/>
        <v>1</v>
      </c>
      <c r="V32" s="37">
        <v>7</v>
      </c>
    </row>
    <row r="33" spans="7:22" x14ac:dyDescent="0.35">
      <c r="H33" s="61">
        <v>1328.4955962402114</v>
      </c>
      <c r="I33" s="9">
        <v>6</v>
      </c>
      <c r="J33" s="8" t="str">
        <f>VLOOKUP(I33,$X$14:$Y$20,2,0)</f>
        <v>Peppermint Peninsula</v>
      </c>
      <c r="K33" s="8">
        <v>3</v>
      </c>
      <c r="L33" s="8" t="str">
        <f>_xlfn.XLOOKUP(K33,$X$14:$X$20,$Y$14:$Y$20)</f>
        <v>Gooey Ganache Grotto</v>
      </c>
      <c r="M33" s="30" t="s">
        <v>1</v>
      </c>
      <c r="N33" s="18">
        <f t="shared" si="0"/>
        <v>40.81</v>
      </c>
      <c r="O33" s="18">
        <f t="shared" si="1"/>
        <v>-110.66</v>
      </c>
      <c r="P33" s="18">
        <f t="shared" si="2"/>
        <v>33.020000000000003</v>
      </c>
      <c r="Q33" s="18">
        <f t="shared" si="3"/>
        <v>-112.55</v>
      </c>
      <c r="R33" s="17">
        <f t="shared" si="4"/>
        <v>8.0159965069852657</v>
      </c>
      <c r="S33" s="8">
        <f t="shared" si="5"/>
        <v>0</v>
      </c>
      <c r="T33" s="39">
        <v>90</v>
      </c>
      <c r="U33" s="18">
        <f t="shared" si="6"/>
        <v>1</v>
      </c>
      <c r="V33" s="37">
        <v>14</v>
      </c>
    </row>
    <row r="34" spans="7:22" x14ac:dyDescent="0.35">
      <c r="H34" s="61">
        <v>0</v>
      </c>
      <c r="I34" s="9">
        <v>7</v>
      </c>
      <c r="J34" s="8" t="str">
        <f>VLOOKUP(I34,$X$14:$Y$20,2,0)</f>
        <v>Rainbow Ribbon Roads</v>
      </c>
      <c r="K34" s="8">
        <v>2</v>
      </c>
      <c r="L34" s="8" t="str">
        <f>_xlfn.XLOOKUP(K34,$X$14:$X$20,$Y$14:$Y$20)</f>
        <v>Cocoa Bean Crater</v>
      </c>
      <c r="M34" s="8" t="s">
        <v>3</v>
      </c>
      <c r="N34" s="18">
        <f t="shared" si="0"/>
        <v>38.06</v>
      </c>
      <c r="O34" s="18">
        <f t="shared" si="1"/>
        <v>-108.82</v>
      </c>
      <c r="P34" s="18">
        <f t="shared" si="2"/>
        <v>34.4</v>
      </c>
      <c r="Q34" s="18">
        <f t="shared" si="3"/>
        <v>-95.88</v>
      </c>
      <c r="R34" s="17">
        <f t="shared" si="4"/>
        <v>13.447646634262814</v>
      </c>
      <c r="S34" s="8">
        <f t="shared" si="5"/>
        <v>1</v>
      </c>
      <c r="T34" s="39">
        <v>31</v>
      </c>
      <c r="U34" s="18">
        <f t="shared" si="6"/>
        <v>0</v>
      </c>
      <c r="V34" s="37">
        <v>24</v>
      </c>
    </row>
    <row r="35" spans="7:22" x14ac:dyDescent="0.35">
      <c r="H35" s="61">
        <v>0</v>
      </c>
      <c r="I35" s="9">
        <v>7</v>
      </c>
      <c r="J35" s="8" t="str">
        <f>VLOOKUP(I35,$X$14:$Y$20,2,0)</f>
        <v>Rainbow Ribbon Roads</v>
      </c>
      <c r="K35" s="8">
        <v>3</v>
      </c>
      <c r="L35" s="8" t="str">
        <f>_xlfn.XLOOKUP(K35,$X$14:$X$20,$Y$14:$Y$20)</f>
        <v>Gooey Ganache Grotto</v>
      </c>
      <c r="M35" s="8" t="s">
        <v>3</v>
      </c>
      <c r="N35" s="18">
        <f t="shared" si="0"/>
        <v>38.06</v>
      </c>
      <c r="O35" s="18">
        <f t="shared" si="1"/>
        <v>-108.82</v>
      </c>
      <c r="P35" s="18">
        <f t="shared" si="2"/>
        <v>33.020000000000003</v>
      </c>
      <c r="Q35" s="18">
        <f t="shared" si="3"/>
        <v>-112.55</v>
      </c>
      <c r="R35" s="17">
        <f t="shared" si="4"/>
        <v>6.2701275904083502</v>
      </c>
      <c r="S35" s="8">
        <f t="shared" si="5"/>
        <v>1</v>
      </c>
      <c r="T35" s="39">
        <v>88</v>
      </c>
      <c r="U35" s="18">
        <f t="shared" si="6"/>
        <v>1</v>
      </c>
      <c r="V35" s="37">
        <v>13</v>
      </c>
    </row>
    <row r="36" spans="7:22" x14ac:dyDescent="0.35">
      <c r="H36" s="61">
        <v>0</v>
      </c>
      <c r="I36" s="9">
        <v>7</v>
      </c>
      <c r="J36" s="8" t="str">
        <f>VLOOKUP(I36,$X$14:$Y$20,2,0)</f>
        <v>Rainbow Ribbon Roads</v>
      </c>
      <c r="K36" s="8">
        <v>5</v>
      </c>
      <c r="L36" s="8" t="str">
        <f>_xlfn.XLOOKUP(K36,$X$14:$X$20,$Y$14:$Y$20)</f>
        <v>Malted Milk Manor</v>
      </c>
      <c r="M36" s="8" t="s">
        <v>6</v>
      </c>
      <c r="N36" s="18">
        <f t="shared" si="0"/>
        <v>38.06</v>
      </c>
      <c r="O36" s="18">
        <f t="shared" si="1"/>
        <v>-108.82</v>
      </c>
      <c r="P36" s="18">
        <f t="shared" si="2"/>
        <v>39.86</v>
      </c>
      <c r="Q36" s="18">
        <f t="shared" si="3"/>
        <v>-105.08</v>
      </c>
      <c r="R36" s="17">
        <f t="shared" si="4"/>
        <v>4.1506144123490865</v>
      </c>
      <c r="S36" s="8">
        <f t="shared" si="5"/>
        <v>1</v>
      </c>
      <c r="T36" s="39">
        <v>38</v>
      </c>
      <c r="U36" s="18">
        <f t="shared" si="6"/>
        <v>0</v>
      </c>
      <c r="V36" s="37">
        <v>11</v>
      </c>
    </row>
    <row r="37" spans="7:22" ht="15" thickBot="1" x14ac:dyDescent="0.4">
      <c r="H37" s="62">
        <v>0</v>
      </c>
      <c r="I37" s="11">
        <v>7</v>
      </c>
      <c r="J37" s="12" t="str">
        <f>VLOOKUP(I37,$X$14:$Y$20,2,0)</f>
        <v>Rainbow Ribbon Roads</v>
      </c>
      <c r="K37" s="12">
        <v>6</v>
      </c>
      <c r="L37" s="12" t="str">
        <f>_xlfn.XLOOKUP(K37,$X$14:$X$20,$Y$14:$Y$20)</f>
        <v>Peppermint Peninsula</v>
      </c>
      <c r="M37" s="12" t="s">
        <v>2</v>
      </c>
      <c r="N37" s="28">
        <f t="shared" si="0"/>
        <v>38.06</v>
      </c>
      <c r="O37" s="28">
        <f t="shared" si="1"/>
        <v>-108.82</v>
      </c>
      <c r="P37" s="28">
        <f t="shared" si="2"/>
        <v>40.81</v>
      </c>
      <c r="Q37" s="28">
        <f t="shared" si="3"/>
        <v>-110.66</v>
      </c>
      <c r="R37" s="29">
        <f t="shared" si="4"/>
        <v>3.308791320104671</v>
      </c>
      <c r="S37" s="12">
        <f t="shared" si="5"/>
        <v>1</v>
      </c>
      <c r="T37" s="40">
        <v>110</v>
      </c>
      <c r="U37" s="28">
        <f t="shared" si="6"/>
        <v>1</v>
      </c>
      <c r="V37" s="38">
        <v>5</v>
      </c>
    </row>
    <row r="38" spans="7:22" x14ac:dyDescent="0.35">
      <c r="G38" s="1" t="s">
        <v>53</v>
      </c>
      <c r="H38" s="52">
        <f>SUM(H14:H37)</f>
        <v>11813</v>
      </c>
    </row>
  </sheetData>
  <mergeCells count="10">
    <mergeCell ref="X13:Y13"/>
    <mergeCell ref="X23:Y23"/>
    <mergeCell ref="X26:Y26"/>
    <mergeCell ref="X27:Y27"/>
    <mergeCell ref="R6:T6"/>
    <mergeCell ref="R7:T7"/>
    <mergeCell ref="R8:T8"/>
    <mergeCell ref="R9:T9"/>
    <mergeCell ref="I13:J13"/>
    <mergeCell ref="K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2025-04-16T23:09:38Z</dcterms:created>
  <dcterms:modified xsi:type="dcterms:W3CDTF">2025-04-23T19:44:50Z</dcterms:modified>
</cp:coreProperties>
</file>