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2016-Hamburg-Impact-of-War/External Data/"/>
    </mc:Choice>
  </mc:AlternateContent>
  <xr:revisionPtr revIDLastSave="0" documentId="13_ncr:1_{3D3E5A8C-2A85-7B44-9C3D-2B0E7662A554}" xr6:coauthVersionLast="45" xr6:coauthVersionMax="47" xr10:uidLastSave="{00000000-0000-0000-0000-000000000000}"/>
  <bookViews>
    <workbookView xWindow="0" yWindow="500" windowWidth="28800" windowHeight="16720" xr2:uid="{E3D52932-A783-EC49-8617-8937D12F747E}"/>
  </bookViews>
  <sheets>
    <sheet name="Calcul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B70" i="1"/>
  <c r="G67" i="1"/>
  <c r="B63" i="1"/>
  <c r="B67" i="1" s="1"/>
  <c r="K41" i="1"/>
  <c r="K56" i="1"/>
  <c r="I55" i="1"/>
  <c r="H56" i="1"/>
  <c r="G56" i="1"/>
  <c r="F56" i="1"/>
  <c r="E56" i="1"/>
  <c r="D56" i="1"/>
  <c r="C56" i="1"/>
  <c r="B56" i="1"/>
  <c r="J55" i="1"/>
  <c r="J54" i="1"/>
  <c r="I54" i="1"/>
  <c r="L54" i="1" s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L46" i="1" s="1"/>
  <c r="H41" i="1"/>
  <c r="G41" i="1"/>
  <c r="F41" i="1"/>
  <c r="E41" i="1"/>
  <c r="D41" i="1"/>
  <c r="C41" i="1"/>
  <c r="B41" i="1"/>
  <c r="L31" i="1"/>
  <c r="I32" i="1"/>
  <c r="I33" i="1"/>
  <c r="I34" i="1"/>
  <c r="I35" i="1"/>
  <c r="I36" i="1"/>
  <c r="I37" i="1"/>
  <c r="I38" i="1"/>
  <c r="I39" i="1"/>
  <c r="I40" i="1"/>
  <c r="L40" i="1" s="1"/>
  <c r="I31" i="1"/>
  <c r="J34" i="1"/>
  <c r="J40" i="1"/>
  <c r="J39" i="1"/>
  <c r="J38" i="1"/>
  <c r="J37" i="1"/>
  <c r="L37" i="1" s="1"/>
  <c r="J36" i="1"/>
  <c r="L36" i="1" s="1"/>
  <c r="J35" i="1"/>
  <c r="J33" i="1"/>
  <c r="J32" i="1"/>
  <c r="J31" i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12" i="1"/>
  <c r="J12" i="1" s="1"/>
  <c r="B76" i="1" l="1"/>
  <c r="B79" i="1"/>
  <c r="B75" i="1"/>
  <c r="L34" i="1"/>
  <c r="B73" i="1" s="1"/>
  <c r="L33" i="1"/>
  <c r="B72" i="1" s="1"/>
  <c r="L52" i="1"/>
  <c r="I41" i="1"/>
  <c r="L41" i="1" s="1"/>
  <c r="L39" i="1"/>
  <c r="B78" i="1" s="1"/>
  <c r="L38" i="1"/>
  <c r="B77" i="1" s="1"/>
  <c r="L35" i="1"/>
  <c r="L48" i="1"/>
  <c r="L51" i="1"/>
  <c r="L50" i="1"/>
  <c r="L55" i="1"/>
  <c r="L49" i="1"/>
  <c r="L53" i="1"/>
  <c r="J56" i="1"/>
  <c r="L47" i="1"/>
  <c r="J22" i="1"/>
  <c r="L83" i="1" s="1"/>
  <c r="L84" i="1" s="1"/>
  <c r="E85" i="1" s="1"/>
  <c r="E86" i="1" s="1"/>
  <c r="L32" i="1"/>
  <c r="B71" i="1" s="1"/>
  <c r="I56" i="1"/>
  <c r="J41" i="1"/>
  <c r="I22" i="1"/>
  <c r="B158" i="1"/>
  <c r="D156" i="1"/>
  <c r="E156" i="1" s="1"/>
  <c r="D155" i="1"/>
  <c r="E155" i="1" s="1"/>
  <c r="D154" i="1"/>
  <c r="E154" i="1" s="1"/>
  <c r="D153" i="1"/>
  <c r="C158" i="1"/>
  <c r="C7" i="2" l="1"/>
  <c r="C4" i="2"/>
  <c r="C11" i="2"/>
  <c r="C10" i="2"/>
  <c r="C3" i="2"/>
  <c r="C5" i="2"/>
  <c r="C9" i="2"/>
  <c r="C8" i="2"/>
  <c r="N35" i="1"/>
  <c r="B74" i="1"/>
  <c r="N39" i="1"/>
  <c r="D158" i="1"/>
  <c r="E157" i="1" s="1"/>
  <c r="N32" i="1"/>
  <c r="N38" i="1"/>
  <c r="N40" i="1"/>
  <c r="N33" i="1"/>
  <c r="N31" i="1"/>
  <c r="N34" i="1"/>
  <c r="N36" i="1"/>
  <c r="N37" i="1"/>
  <c r="L56" i="1"/>
  <c r="N53" i="1"/>
  <c r="N50" i="1"/>
  <c r="N46" i="1"/>
  <c r="N55" i="1"/>
  <c r="N51" i="1"/>
  <c r="N52" i="1"/>
  <c r="N47" i="1"/>
  <c r="N48" i="1"/>
  <c r="N54" i="1"/>
  <c r="N49" i="1"/>
  <c r="E153" i="1"/>
  <c r="E158" i="1"/>
  <c r="D335" i="1"/>
  <c r="B347" i="1" s="1"/>
  <c r="C347" i="1" s="1"/>
  <c r="B80" i="1" l="1"/>
  <c r="B93" i="1" s="1"/>
  <c r="B6" i="2" s="1"/>
  <c r="C6" i="2"/>
  <c r="N41" i="1"/>
  <c r="N56" i="1"/>
  <c r="B346" i="1"/>
  <c r="C346" i="1" s="1"/>
  <c r="B345" i="1"/>
  <c r="C345" i="1" s="1"/>
  <c r="B344" i="1"/>
  <c r="C344" i="1" s="1"/>
  <c r="B342" i="1"/>
  <c r="C342" i="1" s="1"/>
  <c r="B339" i="1"/>
  <c r="B343" i="1"/>
  <c r="C343" i="1" s="1"/>
  <c r="B276" i="1"/>
  <c r="B282" i="1" s="1"/>
  <c r="B257" i="1"/>
  <c r="B246" i="1"/>
  <c r="B248" i="1" s="1"/>
  <c r="C248" i="1" s="1"/>
  <c r="B89" i="1" l="1"/>
  <c r="B2" i="2" s="1"/>
  <c r="B97" i="1"/>
  <c r="B10" i="2" s="1"/>
  <c r="B95" i="1"/>
  <c r="B8" i="2" s="1"/>
  <c r="B92" i="1"/>
  <c r="B5" i="2" s="1"/>
  <c r="B94" i="1"/>
  <c r="B7" i="2" s="1"/>
  <c r="B96" i="1"/>
  <c r="B9" i="2" s="1"/>
  <c r="B90" i="1"/>
  <c r="B3" i="2" s="1"/>
  <c r="B91" i="1"/>
  <c r="B4" i="2" s="1"/>
  <c r="B98" i="1"/>
  <c r="B11" i="2" s="1"/>
  <c r="C339" i="1"/>
  <c r="I338" i="1" s="1"/>
  <c r="D343" i="1" s="1"/>
  <c r="D344" i="1"/>
  <c r="D360" i="1"/>
  <c r="D341" i="1"/>
  <c r="D352" i="1"/>
  <c r="D345" i="1"/>
  <c r="D353" i="1"/>
  <c r="D346" i="1"/>
  <c r="D357" i="1"/>
  <c r="D358" i="1"/>
  <c r="D354" i="1"/>
  <c r="D349" i="1"/>
  <c r="D347" i="1"/>
  <c r="D355" i="1"/>
  <c r="D350" i="1"/>
  <c r="D340" i="1"/>
  <c r="D356" i="1"/>
  <c r="D342" i="1"/>
  <c r="B268" i="1"/>
  <c r="C93" i="2" s="1"/>
  <c r="B261" i="1"/>
  <c r="B286" i="1"/>
  <c r="B289" i="1"/>
  <c r="B287" i="1"/>
  <c r="B288" i="1"/>
  <c r="B290" i="1"/>
  <c r="B285" i="1"/>
  <c r="B264" i="1"/>
  <c r="B97" i="2" s="1"/>
  <c r="B260" i="1"/>
  <c r="B267" i="1"/>
  <c r="C92" i="2" s="1"/>
  <c r="B272" i="1"/>
  <c r="C97" i="2" s="1"/>
  <c r="B271" i="1"/>
  <c r="C96" i="2" s="1"/>
  <c r="B263" i="1"/>
  <c r="B269" i="1"/>
  <c r="C94" i="2" s="1"/>
  <c r="B259" i="1"/>
  <c r="B270" i="1"/>
  <c r="C95" i="2" s="1"/>
  <c r="B262" i="1"/>
  <c r="G211" i="1"/>
  <c r="G214" i="1"/>
  <c r="G213" i="1"/>
  <c r="G212" i="1"/>
  <c r="G210" i="1"/>
  <c r="G209" i="1"/>
  <c r="G208" i="1"/>
  <c r="F214" i="1"/>
  <c r="F213" i="1"/>
  <c r="F212" i="1"/>
  <c r="F211" i="1"/>
  <c r="F210" i="1"/>
  <c r="F209" i="1"/>
  <c r="F208" i="1"/>
  <c r="D215" i="1"/>
  <c r="B215" i="1"/>
  <c r="E184" i="1"/>
  <c r="E185" i="1"/>
  <c r="E186" i="1"/>
  <c r="E187" i="1"/>
  <c r="E188" i="1"/>
  <c r="E189" i="1"/>
  <c r="E183" i="1"/>
  <c r="E194" i="1"/>
  <c r="D190" i="1"/>
  <c r="C190" i="1"/>
  <c r="B190" i="1"/>
  <c r="E132" i="1"/>
  <c r="C124" i="1"/>
  <c r="C125" i="1"/>
  <c r="C126" i="1"/>
  <c r="C127" i="1"/>
  <c r="C123" i="1"/>
  <c r="E121" i="1"/>
  <c r="D123" i="1" s="1"/>
  <c r="E120" i="1"/>
  <c r="B124" i="1" s="1"/>
  <c r="B114" i="1"/>
  <c r="D359" i="1" l="1"/>
  <c r="D348" i="1"/>
  <c r="D339" i="1"/>
  <c r="B107" i="2" s="1"/>
  <c r="D351" i="1"/>
  <c r="B95" i="2"/>
  <c r="B93" i="2"/>
  <c r="B94" i="2"/>
  <c r="G194" i="1"/>
  <c r="B198" i="1" s="1"/>
  <c r="C71" i="2" s="1"/>
  <c r="F194" i="1"/>
  <c r="B117" i="2"/>
  <c r="B120" i="2"/>
  <c r="B265" i="1"/>
  <c r="B92" i="2"/>
  <c r="B110" i="2"/>
  <c r="B122" i="2"/>
  <c r="B109" i="2"/>
  <c r="B115" i="2"/>
  <c r="B124" i="2"/>
  <c r="B126" i="2"/>
  <c r="B128" i="2"/>
  <c r="B113" i="2"/>
  <c r="B96" i="2"/>
  <c r="B108" i="2"/>
  <c r="B125" i="2"/>
  <c r="B112" i="2"/>
  <c r="B118" i="2"/>
  <c r="B114" i="2"/>
  <c r="B127" i="2"/>
  <c r="B119" i="2"/>
  <c r="B123" i="2"/>
  <c r="B121" i="2"/>
  <c r="B111" i="2"/>
  <c r="B291" i="1"/>
  <c r="E190" i="1"/>
  <c r="D127" i="1"/>
  <c r="D126" i="1"/>
  <c r="D125" i="1"/>
  <c r="D124" i="1"/>
  <c r="D216" i="1"/>
  <c r="B216" i="1"/>
  <c r="G215" i="1"/>
  <c r="F215" i="1"/>
  <c r="C128" i="1"/>
  <c r="B123" i="1"/>
  <c r="B126" i="1"/>
  <c r="B125" i="1"/>
  <c r="B127" i="1"/>
  <c r="B203" i="1" l="1"/>
  <c r="C76" i="2" s="1"/>
  <c r="B197" i="1"/>
  <c r="C70" i="2" s="1"/>
  <c r="B201" i="1"/>
  <c r="C74" i="2" s="1"/>
  <c r="B199" i="1"/>
  <c r="C72" i="2" s="1"/>
  <c r="B200" i="1"/>
  <c r="C73" i="2" s="1"/>
  <c r="B202" i="1"/>
  <c r="C75" i="2" s="1"/>
  <c r="D291" i="1"/>
  <c r="E343" i="1" s="1"/>
  <c r="C111" i="2" s="1"/>
  <c r="D128" i="1"/>
  <c r="C208" i="1"/>
  <c r="E208" i="1" s="1"/>
  <c r="B223" i="1" s="1"/>
  <c r="C212" i="1"/>
  <c r="E212" i="1" s="1"/>
  <c r="B227" i="1" s="1"/>
  <c r="C211" i="1"/>
  <c r="E211" i="1" s="1"/>
  <c r="C210" i="1"/>
  <c r="E210" i="1" s="1"/>
  <c r="C214" i="1"/>
  <c r="E214" i="1" s="1"/>
  <c r="B229" i="1" s="1"/>
  <c r="C213" i="1"/>
  <c r="E213" i="1" s="1"/>
  <c r="B228" i="1" s="1"/>
  <c r="C209" i="1"/>
  <c r="E209" i="1" s="1"/>
  <c r="B224" i="1" s="1"/>
  <c r="B128" i="1"/>
  <c r="E351" i="1" l="1"/>
  <c r="C119" i="2" s="1"/>
  <c r="E357" i="1"/>
  <c r="C125" i="2" s="1"/>
  <c r="E342" i="1"/>
  <c r="C110" i="2" s="1"/>
  <c r="B204" i="1"/>
  <c r="E347" i="1"/>
  <c r="C115" i="2" s="1"/>
  <c r="E354" i="1"/>
  <c r="C122" i="2" s="1"/>
  <c r="B225" i="1"/>
  <c r="B230" i="1" s="1"/>
  <c r="C230" i="1" s="1"/>
  <c r="E358" i="1"/>
  <c r="C126" i="2" s="1"/>
  <c r="E356" i="1"/>
  <c r="C124" i="2" s="1"/>
  <c r="B226" i="1"/>
  <c r="E350" i="1"/>
  <c r="C118" i="2" s="1"/>
  <c r="E355" i="1"/>
  <c r="C123" i="2" s="1"/>
  <c r="E341" i="1"/>
  <c r="C109" i="2" s="1"/>
  <c r="E345" i="1"/>
  <c r="C113" i="2" s="1"/>
  <c r="E340" i="1"/>
  <c r="C108" i="2" s="1"/>
  <c r="E352" i="1"/>
  <c r="C120" i="2" s="1"/>
  <c r="E149" i="1"/>
  <c r="E353" i="1"/>
  <c r="C121" i="2" s="1"/>
  <c r="E339" i="1"/>
  <c r="C107" i="2" s="1"/>
  <c r="E346" i="1"/>
  <c r="C114" i="2" s="1"/>
  <c r="E344" i="1"/>
  <c r="C112" i="2" s="1"/>
  <c r="E349" i="1"/>
  <c r="C117" i="2" s="1"/>
  <c r="E348" i="1"/>
  <c r="E360" i="1"/>
  <c r="C128" i="2" s="1"/>
  <c r="E359" i="1"/>
  <c r="C127" i="2" s="1"/>
  <c r="C224" i="1"/>
  <c r="C227" i="1"/>
  <c r="C229" i="1"/>
  <c r="C228" i="1"/>
  <c r="C226" i="1"/>
  <c r="C215" i="1"/>
  <c r="C216" i="1" s="1"/>
  <c r="C223" i="1"/>
  <c r="E128" i="1"/>
  <c r="E133" i="1" s="1"/>
  <c r="C225" i="1" l="1"/>
  <c r="E215" i="1"/>
  <c r="D223" i="1"/>
  <c r="B70" i="2" s="1"/>
  <c r="D225" i="1"/>
  <c r="B72" i="2" s="1"/>
  <c r="D228" i="1"/>
  <c r="B75" i="2" s="1"/>
  <c r="D224" i="1"/>
  <c r="B71" i="2" s="1"/>
  <c r="D229" i="1"/>
  <c r="B76" i="2" s="1"/>
  <c r="D226" i="1"/>
  <c r="B73" i="2" s="1"/>
  <c r="D227" i="1"/>
  <c r="B74" i="2" s="1"/>
  <c r="B137" i="1"/>
  <c r="D230" i="1" l="1"/>
  <c r="B164" i="1"/>
  <c r="B59" i="2" s="1"/>
  <c r="C59" i="2"/>
  <c r="B140" i="1"/>
  <c r="B136" i="1"/>
  <c r="B139" i="1"/>
  <c r="B138" i="1"/>
  <c r="C58" i="2" l="1"/>
  <c r="B163" i="1"/>
  <c r="B58" i="2" s="1"/>
  <c r="B141" i="1"/>
  <c r="B166" i="1"/>
  <c r="B61" i="2" s="1"/>
  <c r="C61" i="2"/>
  <c r="B167" i="1"/>
  <c r="B62" i="2" s="1"/>
  <c r="C62" i="2"/>
  <c r="B165" i="1"/>
  <c r="B60" i="2" s="1"/>
  <c r="C60" i="2"/>
  <c r="B16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tc={702D1D19-A33E-BE4D-B99F-139199713421}</author>
  </authors>
  <commentList>
    <comment ref="K41" authorId="0" shapeId="0" xr:uid="{702D1D19-A33E-BE4D-B99F-139199713421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donne 446... </t>
      </text>
    </comment>
  </commentList>
</comments>
</file>

<file path=xl/sharedStrings.xml><?xml version="1.0" encoding="utf-8"?>
<sst xmlns="http://schemas.openxmlformats.org/spreadsheetml/2006/main" count="166" uniqueCount="117">
  <si>
    <t>Estimation de l’armement corsaire à Dunkerque, Saint-Malo et Bayonne (en milliers de lt) Villier 2002, p. 327</t>
  </si>
  <si>
    <t>Dunkerque</t>
  </si>
  <si>
    <t>Saint-Malo</t>
  </si>
  <si>
    <t>Bayonne</t>
  </si>
  <si>
    <t>ratio pour corriger Dunkerque (voir p. 327)</t>
  </si>
  <si>
    <t>ratio pour corriger Bayonne (idem)</t>
  </si>
  <si>
    <t>Autre</t>
  </si>
  <si>
    <t>Donc investissement ?</t>
  </si>
  <si>
    <t>Hypothèse annuelle</t>
  </si>
  <si>
    <t>Armements corsaires pour Atlantique et Manche (p. 328)</t>
  </si>
  <si>
    <t>Rentrées liées à la course</t>
  </si>
  <si>
    <t>Dunkerque (voir p. 332 -- erreur il le compare à 7 300 d’investissement -- note 207 de J. Le May La Guerre de Course...)</t>
  </si>
  <si>
    <t>Donc hypothèse de rentrées brutes</t>
  </si>
  <si>
    <t>Estimation de l’armement corsaire à Dunkerque, Saint-Malo et Bayonne (en milliers de lt) Villier 2002, p. 355</t>
  </si>
  <si>
    <t>Armements (p. 351)</t>
  </si>
  <si>
    <t>Autres</t>
  </si>
  <si>
    <t>somme</t>
  </si>
  <si>
    <t>Ratio</t>
  </si>
  <si>
    <t>Prises et rançons</t>
  </si>
  <si>
    <t>Dunkerque (p. 368)</t>
  </si>
  <si>
    <t>Bayonne (p. 364)</t>
  </si>
  <si>
    <t>Valeur des prises Dunkerque (p. 370)</t>
  </si>
  <si>
    <t>Valeur des rançons  Dunkerque (p. 370)</t>
  </si>
  <si>
    <t>Saint-Malo à partir les prises et rançons (p. 357)</t>
  </si>
  <si>
    <t>Nombre de prises Saint-Malo</t>
  </si>
  <si>
    <t>Nombre de rançons Saint-Malo</t>
  </si>
  <si>
    <t>En utilisant les moyennes annuelles, on passe à un ratio de 1,98</t>
  </si>
  <si>
    <t>En utilisant les moyennes sur la période, 1,6</t>
  </si>
  <si>
    <t>Comme Villiers dit que cela a été une mauvaise guerre, je mets un coefficient rectificatif de -25%</t>
  </si>
  <si>
    <t>Rapporte</t>
  </si>
  <si>
    <t>Estimation prises totales Guerre d’Indépendance Américaine p. 657</t>
  </si>
  <si>
    <t>Course royale, p. 672</t>
  </si>
  <si>
    <t>Investissement en course (p. 665)</t>
  </si>
  <si>
    <t>Le Havre</t>
  </si>
  <si>
    <t>Prises et rançoins (p. 656-657)</t>
  </si>
  <si>
    <t>Donc estimation investissement total</t>
  </si>
  <si>
    <t>Répartition annuelle de la course à Dunkerque</t>
  </si>
  <si>
    <t>Donc hypothèse annuelle de retours course privée</t>
  </si>
  <si>
    <t>Hypothèse annuelle d’investissement</t>
  </si>
  <si>
    <t>Répartition prises de la course du Roi (p. 671)</t>
  </si>
  <si>
    <t>Hypothèse annuelle course du Roi</t>
  </si>
  <si>
    <t>Produit de la course royale (p. 379)</t>
  </si>
  <si>
    <t>La course Royale</t>
  </si>
  <si>
    <t>Villiers ne discute pas de la course royale</t>
  </si>
  <si>
    <t>Norman -- Corsairs of France -- Appendix XXII</t>
  </si>
  <si>
    <t>Roll of English Merchant-Vessels captured by the French during the War</t>
  </si>
  <si>
    <t>Crowhurst par Acerra Meyer "Appendice 1 Marine et Révolution"</t>
  </si>
  <si>
    <t>Nombre d’armements (?)</t>
  </si>
  <si>
    <t>Dukerque guerre d’Amérique : 198 armements (voir Villiers p. 670) pour 19 M d’investissement.</t>
  </si>
  <si>
    <t>Armement moyen :</t>
  </si>
  <si>
    <t>Investissement Villiers / Crowhurst</t>
  </si>
  <si>
    <t>Prises en utilisant le ratio de la guerre d’Amérpque</t>
  </si>
  <si>
    <t xml:space="preserve">Valeur par prise : </t>
  </si>
  <si>
    <t>Prises en utilisant Normann</t>
  </si>
  <si>
    <t>year</t>
  </si>
  <si>
    <t>French investment</t>
  </si>
  <si>
    <t>Part de captures privées</t>
  </si>
  <si>
    <t>Ivestissement en utilisant Normann (que pour course privée)</t>
  </si>
  <si>
    <t>French income</t>
  </si>
  <si>
    <t>Saint-Malo (p. 333 // 2007 : 10-12)</t>
  </si>
  <si>
    <t>Prises Martiniqe</t>
  </si>
  <si>
    <t xml:space="preserve"> Villier 2007 p. 43</t>
  </si>
  <si>
    <t>nombre</t>
  </si>
  <si>
    <t>valeur en livres coloniales</t>
  </si>
  <si>
    <t>Conversion livre tournois / livre coloniales</t>
  </si>
  <si>
    <t>valeur en livres tournois</t>
  </si>
  <si>
    <t>Il annonce 10 M l.t : je mets le résidu en 1748</t>
  </si>
  <si>
    <t>Total</t>
  </si>
  <si>
    <t>GUERRE DE SUCCESSION D’Autriche</t>
  </si>
  <si>
    <t>GUERRE DE HOLLANDE</t>
  </si>
  <si>
    <t>Villiers (2002), p. 123 : pas de chiffres sauf sur Dunkerque</t>
  </si>
  <si>
    <t>De toutes les manières, course contre la Hollande qui ne nous intéresse pas beaucoup</t>
  </si>
  <si>
    <t>Valeur capturée par Dunkerque</t>
  </si>
  <si>
    <t>Villiers 2002 p. 129</t>
  </si>
  <si>
    <t>0-19tx</t>
  </si>
  <si>
    <t>20-49tx</t>
  </si>
  <si>
    <t>50-99tx</t>
  </si>
  <si>
    <t>100-199tx</t>
  </si>
  <si>
    <t>200-399tx</t>
  </si>
  <si>
    <t>400-599tx</t>
  </si>
  <si>
    <t>plus de 600tx</t>
  </si>
  <si>
    <t>Armement à Saint-Malo p. 134</t>
  </si>
  <si>
    <t>Évaluation du coût p. 136</t>
  </si>
  <si>
    <t>Il trouve 29 millions ?</t>
  </si>
  <si>
    <t>Armement à Dunkerque p. 134</t>
  </si>
  <si>
    <t>Nbr armements</t>
  </si>
  <si>
    <t>Valeur totale des armements</t>
  </si>
  <si>
    <t>En prenant en compte qu’on connaît 90% des tonnages (422 sur 381)</t>
  </si>
  <si>
    <t>Total connu</t>
  </si>
  <si>
    <t>En faisant confiance aux 16 M…</t>
  </si>
  <si>
    <t>Armement à Dunkerque Villiers 2007, p. 34-35</t>
  </si>
  <si>
    <t>Il dit 10 M p. 36 ?</t>
  </si>
  <si>
    <t>Donne total de 446…</t>
  </si>
  <si>
    <t>Il trouve 16 M p. 136 ??? C’est bien ce que donne un total de 446…</t>
  </si>
  <si>
    <t>Donc je pense que le 16M est une erreur. 18,7 M est plus juste</t>
  </si>
  <si>
    <t xml:space="preserve">10 M : sans doute une erreur. </t>
  </si>
  <si>
    <t>1695 jugements de bonne prise</t>
  </si>
  <si>
    <t>Autre Manche</t>
  </si>
  <si>
    <t>Atlantique</t>
  </si>
  <si>
    <t>Méditerranée</t>
  </si>
  <si>
    <t>Hors France</t>
  </si>
  <si>
    <t>Donne 745…</t>
  </si>
  <si>
    <t>Villiers 2007 p. 37</t>
  </si>
  <si>
    <t>(dont 22 000 000 pour la vente des prises)</t>
  </si>
  <si>
    <t>Estimation de l’investissement total</t>
  </si>
  <si>
    <t>GUERRE DE LA LIGUE D’AUGSBOURG 1688-1698 -- aussi des captures hollandaises en Manche, espagnole en Méditerranée et Atlantique…</t>
  </si>
  <si>
    <t>donc % Dunkerque et Saint-Malo</t>
  </si>
  <si>
    <t>La discussion p. 137 semble indiquer que la course de Saint-Malo n’a pas été rentable pour les investisseurs. Bon, mettons 25% de pertes ?</t>
  </si>
  <si>
    <t>Soit…</t>
  </si>
  <si>
    <t>Ce qui donne pour le total capturé</t>
  </si>
  <si>
    <t>Donc pour ces deux ports</t>
  </si>
  <si>
    <t>En supposant qu’ils soientt représentatifs (bof)</t>
  </si>
  <si>
    <t>Répartition annuelle</t>
  </si>
  <si>
    <t>Captures royales ? On ne connaît que la valeur du convoi de Smyrne (hollandais) : 30 M de lt</t>
  </si>
  <si>
    <t>Trois autres exploits : raid sur les baleiniers du Spitzberg (1/3 de la flotte hollandaise du coin), convoi anglais des Antilles, prise de Cartagène (espagnole). Impossible à chiffrer.</t>
  </si>
  <si>
    <t>De toutes les manières, sans doute pas sur les britanniques</t>
  </si>
  <si>
    <t>Donc je mets 0 pour tout cela.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</si>
</sst>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DAUDIN" id="{2F9B96DD-8612-EA43-B1B7-D218C1C35987}" userId="S::guillaume.daudin@dauphine.psl.eu::15dcbe30-cd68-45c5-94ba-64069fedf1cb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1" dT="2024-04-15T14:56:48.99" personId="{2F9B96DD-8612-EA43-B1B7-D218C1C35987}" id="{702D1D19-A33E-BE4D-B99F-139199713421}">
    <text xml:space="preserve">Il donne 446...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72A1-6A8D-9E42-88DE-481B3F912E70}">
  <dimension ref="A1:N360"/>
  <sheetViews>
    <sheetView tabSelected="1" topLeftCell="A89" workbookViewId="0">
      <selection activeCell="A108" sqref="A108"/>
    </sheetView>
  </sheetViews>
  <sheetFormatPr baseColWidth="10" defaultRowHeight="16" x14ac:dyDescent="0.2"/>
  <cols>
    <col min="1" max="1" width="10.83203125" style="1"/>
    <col min="2" max="2" width="20.83203125" style="1" customWidth="1"/>
    <col min="3" max="3" width="22.83203125" style="1" customWidth="1"/>
    <col min="4" max="4" width="10.83203125" style="1"/>
    <col min="5" max="5" width="11.1640625" style="1" bestFit="1" customWidth="1"/>
    <col min="6" max="16384" width="10.83203125" style="1"/>
  </cols>
  <sheetData>
    <row r="1" spans="1:10" x14ac:dyDescent="0.2">
      <c r="A1" s="1" t="s">
        <v>69</v>
      </c>
    </row>
    <row r="2" spans="1:10" x14ac:dyDescent="0.2">
      <c r="A2" s="1" t="s">
        <v>70</v>
      </c>
    </row>
    <row r="3" spans="1:10" x14ac:dyDescent="0.2">
      <c r="A3" s="1" t="s">
        <v>71</v>
      </c>
    </row>
    <row r="6" spans="1:10" x14ac:dyDescent="0.2">
      <c r="A6" s="1" t="s">
        <v>105</v>
      </c>
    </row>
    <row r="10" spans="1:10" x14ac:dyDescent="0.2">
      <c r="A10" s="1" t="s">
        <v>81</v>
      </c>
    </row>
    <row r="11" spans="1:10" x14ac:dyDescent="0.2"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J11" s="1" t="s">
        <v>87</v>
      </c>
    </row>
    <row r="12" spans="1:10" x14ac:dyDescent="0.2">
      <c r="A12" s="1">
        <v>1688</v>
      </c>
      <c r="B12" s="1">
        <v>1</v>
      </c>
      <c r="C12" s="1">
        <v>0</v>
      </c>
      <c r="D12" s="1">
        <v>0</v>
      </c>
      <c r="E12" s="1">
        <v>1</v>
      </c>
      <c r="F12" s="1">
        <v>7</v>
      </c>
      <c r="G12" s="1">
        <v>0</v>
      </c>
      <c r="H12" s="1">
        <v>0</v>
      </c>
      <c r="I12" s="1">
        <f>B12*B$26+C12*C$26+D12*D$26+E12*E$26+F12*F$26+G12*G$26+H12*H$26</f>
        <v>704000</v>
      </c>
      <c r="J12" s="6">
        <f>I12*422/381</f>
        <v>779758.53018372704</v>
      </c>
    </row>
    <row r="13" spans="1:10" x14ac:dyDescent="0.2">
      <c r="A13" s="1">
        <v>1689</v>
      </c>
      <c r="B13" s="1">
        <v>0</v>
      </c>
      <c r="C13" s="1">
        <v>1</v>
      </c>
      <c r="D13" s="1">
        <v>3</v>
      </c>
      <c r="E13" s="1">
        <v>4</v>
      </c>
      <c r="F13" s="1">
        <v>19</v>
      </c>
      <c r="G13" s="1">
        <v>1</v>
      </c>
      <c r="H13" s="1">
        <v>0</v>
      </c>
      <c r="I13" s="1">
        <f t="shared" ref="I13:I21" si="0">B13*B$26+C13*C$26+D13*D$26+E13*E$26+F13*F$26+G13*G$26+H13*H$26</f>
        <v>2230000</v>
      </c>
      <c r="J13" s="6">
        <f t="shared" ref="J13:J21" si="1">I13*422/381</f>
        <v>2469973.7532808399</v>
      </c>
    </row>
    <row r="14" spans="1:10" x14ac:dyDescent="0.2">
      <c r="A14" s="1">
        <v>1690</v>
      </c>
      <c r="B14" s="1">
        <v>0</v>
      </c>
      <c r="C14" s="1">
        <v>0</v>
      </c>
      <c r="D14" s="1">
        <v>1</v>
      </c>
      <c r="E14" s="1">
        <v>12</v>
      </c>
      <c r="F14" s="1">
        <v>15</v>
      </c>
      <c r="G14" s="1">
        <v>0</v>
      </c>
      <c r="H14" s="1">
        <v>0</v>
      </c>
      <c r="I14" s="1">
        <f t="shared" si="0"/>
        <v>2230000</v>
      </c>
      <c r="J14" s="6">
        <f t="shared" si="1"/>
        <v>2469973.7532808399</v>
      </c>
    </row>
    <row r="15" spans="1:10" x14ac:dyDescent="0.2">
      <c r="A15" s="1">
        <v>1691</v>
      </c>
      <c r="B15" s="1">
        <v>0</v>
      </c>
      <c r="C15" s="1">
        <v>2</v>
      </c>
      <c r="D15" s="1">
        <v>1</v>
      </c>
      <c r="E15" s="1">
        <v>15</v>
      </c>
      <c r="F15" s="1">
        <v>15</v>
      </c>
      <c r="G15" s="1">
        <v>0</v>
      </c>
      <c r="H15" s="1">
        <v>0</v>
      </c>
      <c r="I15" s="1">
        <f t="shared" si="0"/>
        <v>2460000</v>
      </c>
      <c r="J15" s="6">
        <f t="shared" si="1"/>
        <v>2724724.4094488188</v>
      </c>
    </row>
    <row r="16" spans="1:10" x14ac:dyDescent="0.2">
      <c r="A16" s="1">
        <v>1692</v>
      </c>
      <c r="B16" s="1">
        <v>1</v>
      </c>
      <c r="C16" s="1">
        <v>4</v>
      </c>
      <c r="D16" s="1">
        <v>6</v>
      </c>
      <c r="E16" s="1">
        <v>22</v>
      </c>
      <c r="F16" s="1">
        <v>15</v>
      </c>
      <c r="G16" s="1">
        <v>1</v>
      </c>
      <c r="H16" s="1">
        <v>1</v>
      </c>
      <c r="I16" s="1">
        <f t="shared" si="0"/>
        <v>3424000</v>
      </c>
      <c r="J16" s="6">
        <f t="shared" si="1"/>
        <v>3792461.9422572181</v>
      </c>
    </row>
    <row r="17" spans="1:14" x14ac:dyDescent="0.2">
      <c r="A17" s="1">
        <v>1693</v>
      </c>
      <c r="B17" s="1">
        <v>0</v>
      </c>
      <c r="C17" s="1">
        <v>4</v>
      </c>
      <c r="D17" s="1">
        <v>12</v>
      </c>
      <c r="E17" s="1">
        <v>11</v>
      </c>
      <c r="F17" s="1">
        <v>11</v>
      </c>
      <c r="G17" s="1">
        <v>3</v>
      </c>
      <c r="H17" s="1">
        <v>0</v>
      </c>
      <c r="I17" s="1">
        <f t="shared" si="0"/>
        <v>2610000</v>
      </c>
      <c r="J17" s="6">
        <f t="shared" si="1"/>
        <v>2890866.1417322834</v>
      </c>
    </row>
    <row r="18" spans="1:14" x14ac:dyDescent="0.2">
      <c r="A18" s="1">
        <v>1694</v>
      </c>
      <c r="B18" s="1">
        <v>2</v>
      </c>
      <c r="C18" s="1">
        <v>3</v>
      </c>
      <c r="D18" s="1">
        <v>13</v>
      </c>
      <c r="E18" s="1">
        <v>9</v>
      </c>
      <c r="F18" s="1">
        <v>11</v>
      </c>
      <c r="G18" s="1">
        <v>4</v>
      </c>
      <c r="H18" s="1">
        <v>2</v>
      </c>
      <c r="I18" s="1">
        <f t="shared" si="0"/>
        <v>2898000</v>
      </c>
      <c r="J18" s="6">
        <f t="shared" si="1"/>
        <v>3209858.2677165354</v>
      </c>
    </row>
    <row r="19" spans="1:14" x14ac:dyDescent="0.2">
      <c r="A19" s="1">
        <v>1695</v>
      </c>
      <c r="B19" s="1">
        <v>2</v>
      </c>
      <c r="C19" s="1">
        <v>10</v>
      </c>
      <c r="D19" s="1">
        <v>14</v>
      </c>
      <c r="E19" s="1">
        <v>20</v>
      </c>
      <c r="F19" s="1">
        <v>10</v>
      </c>
      <c r="G19" s="1">
        <v>1</v>
      </c>
      <c r="H19" s="1">
        <v>2</v>
      </c>
      <c r="I19" s="1">
        <f t="shared" si="0"/>
        <v>3358000</v>
      </c>
      <c r="J19" s="6">
        <f t="shared" si="1"/>
        <v>3719359.5800524936</v>
      </c>
    </row>
    <row r="20" spans="1:14" x14ac:dyDescent="0.2">
      <c r="A20" s="1">
        <v>1696</v>
      </c>
      <c r="B20" s="1">
        <v>2</v>
      </c>
      <c r="C20" s="1">
        <v>3</v>
      </c>
      <c r="D20" s="1">
        <v>15</v>
      </c>
      <c r="E20" s="1">
        <v>16</v>
      </c>
      <c r="F20" s="1">
        <v>6</v>
      </c>
      <c r="G20" s="1">
        <v>5</v>
      </c>
      <c r="H20" s="1">
        <v>1</v>
      </c>
      <c r="I20" s="1">
        <f t="shared" si="0"/>
        <v>2988000</v>
      </c>
      <c r="J20" s="6">
        <f t="shared" si="1"/>
        <v>3309543.307086614</v>
      </c>
    </row>
    <row r="21" spans="1:14" x14ac:dyDescent="0.2">
      <c r="A21" s="1">
        <v>1697</v>
      </c>
      <c r="B21" s="1">
        <v>1</v>
      </c>
      <c r="C21" s="1">
        <v>3</v>
      </c>
      <c r="D21" s="1">
        <v>11</v>
      </c>
      <c r="E21" s="1">
        <v>12</v>
      </c>
      <c r="F21" s="1">
        <v>12</v>
      </c>
      <c r="G21" s="1">
        <v>2</v>
      </c>
      <c r="H21" s="1">
        <v>0</v>
      </c>
      <c r="I21" s="1">
        <f t="shared" si="0"/>
        <v>2614000</v>
      </c>
      <c r="J21" s="6">
        <f t="shared" si="1"/>
        <v>2895296.5879265093</v>
      </c>
    </row>
    <row r="22" spans="1:14" x14ac:dyDescent="0.2">
      <c r="I22" s="1">
        <f>SUM(I12:I21)</f>
        <v>25516000</v>
      </c>
      <c r="J22" s="1">
        <f>SUM(J12:J21)</f>
        <v>28261816.272965882</v>
      </c>
      <c r="K22" s="1" t="s">
        <v>83</v>
      </c>
    </row>
    <row r="24" spans="1:14" x14ac:dyDescent="0.2">
      <c r="A24" s="1" t="s">
        <v>82</v>
      </c>
    </row>
    <row r="25" spans="1:14" x14ac:dyDescent="0.2">
      <c r="B25" s="1" t="s">
        <v>74</v>
      </c>
      <c r="C25" s="1" t="s">
        <v>75</v>
      </c>
      <c r="D25" s="1" t="s">
        <v>76</v>
      </c>
      <c r="E25" s="1" t="s">
        <v>77</v>
      </c>
      <c r="F25" s="1" t="s">
        <v>78</v>
      </c>
      <c r="G25" s="1" t="s">
        <v>79</v>
      </c>
      <c r="H25" s="1" t="s">
        <v>80</v>
      </c>
    </row>
    <row r="26" spans="1:14" x14ac:dyDescent="0.2">
      <c r="B26" s="1">
        <v>4000</v>
      </c>
      <c r="C26" s="1">
        <v>10000</v>
      </c>
      <c r="D26" s="1">
        <v>40000</v>
      </c>
      <c r="E26" s="1">
        <v>70000</v>
      </c>
      <c r="F26" s="1">
        <v>90000</v>
      </c>
      <c r="G26" s="1">
        <v>110000</v>
      </c>
      <c r="H26" s="1">
        <v>140000</v>
      </c>
    </row>
    <row r="29" spans="1:14" x14ac:dyDescent="0.2">
      <c r="A29" s="1" t="s">
        <v>84</v>
      </c>
    </row>
    <row r="30" spans="1:14" x14ac:dyDescent="0.2">
      <c r="B30" s="1" t="s">
        <v>74</v>
      </c>
      <c r="C30" s="1" t="s">
        <v>75</v>
      </c>
      <c r="D30" s="1" t="s">
        <v>76</v>
      </c>
      <c r="E30" s="1" t="s">
        <v>77</v>
      </c>
      <c r="F30" s="1" t="s">
        <v>78</v>
      </c>
      <c r="G30" s="1" t="s">
        <v>79</v>
      </c>
      <c r="H30" s="1" t="s">
        <v>80</v>
      </c>
      <c r="I30" s="1" t="s">
        <v>88</v>
      </c>
      <c r="K30" s="1" t="s">
        <v>85</v>
      </c>
      <c r="L30" s="1" t="s">
        <v>86</v>
      </c>
    </row>
    <row r="31" spans="1:14" x14ac:dyDescent="0.2">
      <c r="A31" s="1">
        <v>1688</v>
      </c>
      <c r="B31" s="1">
        <v>4</v>
      </c>
      <c r="C31" s="1">
        <v>8</v>
      </c>
      <c r="D31" s="1">
        <v>4</v>
      </c>
      <c r="E31" s="1">
        <v>4</v>
      </c>
      <c r="F31" s="1">
        <v>1</v>
      </c>
      <c r="G31" s="1">
        <v>0</v>
      </c>
      <c r="H31" s="1">
        <v>0</v>
      </c>
      <c r="I31" s="1">
        <f>SUM(B31:H31)</f>
        <v>21</v>
      </c>
      <c r="J31" s="1">
        <f>B31*B$26+C31*C$26+D31*D$26+E31*E$26+F31*F$26+G31*G$26+H31*H$26</f>
        <v>626000</v>
      </c>
      <c r="K31" s="1">
        <v>29</v>
      </c>
      <c r="L31" s="6">
        <f>K31/I31*J31</f>
        <v>864476.19047619042</v>
      </c>
      <c r="N31" s="1">
        <f>L31*16000000/L$41</f>
        <v>738147.77144962759</v>
      </c>
    </row>
    <row r="32" spans="1:14" x14ac:dyDescent="0.2">
      <c r="A32" s="1">
        <v>1689</v>
      </c>
      <c r="B32" s="1">
        <v>2</v>
      </c>
      <c r="C32" s="1">
        <v>11</v>
      </c>
      <c r="D32" s="1">
        <v>6</v>
      </c>
      <c r="E32" s="1">
        <v>3</v>
      </c>
      <c r="F32" s="1">
        <v>5</v>
      </c>
      <c r="G32" s="1">
        <v>0</v>
      </c>
      <c r="H32" s="1">
        <v>0</v>
      </c>
      <c r="I32" s="1">
        <f t="shared" ref="I32:I40" si="2">SUM(B32:H32)</f>
        <v>27</v>
      </c>
      <c r="J32" s="1">
        <f>B32*B$26+C32*C$26+D32*D$26+E32*E$26+F32*F$26+G32*G$26+H32*H$26</f>
        <v>1018000</v>
      </c>
      <c r="K32" s="1">
        <v>31</v>
      </c>
      <c r="L32" s="6">
        <f t="shared" ref="L32:L40" si="3">K32/I32*J32</f>
        <v>1168814.8148148148</v>
      </c>
      <c r="N32" s="1">
        <f t="shared" ref="N32:N40" si="4">L32*16000000/L$41</f>
        <v>998012.50780269701</v>
      </c>
    </row>
    <row r="33" spans="1:14" x14ac:dyDescent="0.2">
      <c r="A33" s="1">
        <v>1690</v>
      </c>
      <c r="B33" s="1">
        <v>3</v>
      </c>
      <c r="C33" s="1">
        <v>10</v>
      </c>
      <c r="D33" s="1">
        <v>13</v>
      </c>
      <c r="E33" s="1">
        <v>6</v>
      </c>
      <c r="F33" s="1">
        <v>3</v>
      </c>
      <c r="G33" s="1">
        <v>0</v>
      </c>
      <c r="H33" s="1">
        <v>0</v>
      </c>
      <c r="I33" s="1">
        <f t="shared" si="2"/>
        <v>35</v>
      </c>
      <c r="J33" s="1">
        <f>B33*B$26+C33*C$26+D33*D$26+E33*E$26+F33*F$26+G33*G$26+H33*H$26</f>
        <v>1322000</v>
      </c>
      <c r="K33" s="1">
        <v>50</v>
      </c>
      <c r="L33" s="6">
        <f t="shared" si="3"/>
        <v>1888571.4285714286</v>
      </c>
      <c r="N33" s="1">
        <f t="shared" si="4"/>
        <v>1612588.9950254618</v>
      </c>
    </row>
    <row r="34" spans="1:14" x14ac:dyDescent="0.2">
      <c r="A34" s="1">
        <v>1691</v>
      </c>
      <c r="B34" s="1">
        <v>0</v>
      </c>
      <c r="C34" s="1">
        <v>2</v>
      </c>
      <c r="D34" s="1">
        <v>7</v>
      </c>
      <c r="E34" s="1">
        <v>2</v>
      </c>
      <c r="F34" s="1">
        <v>1</v>
      </c>
      <c r="G34" s="1">
        <v>0</v>
      </c>
      <c r="H34" s="1">
        <v>0</v>
      </c>
      <c r="I34" s="1">
        <f t="shared" si="2"/>
        <v>12</v>
      </c>
      <c r="J34" s="1">
        <f>B34*B$26+C34*C$26+D34*D$26+E34*E$26+F34*F$26+G34*G$26+H34*H$26</f>
        <v>530000</v>
      </c>
      <c r="K34" s="1">
        <v>31</v>
      </c>
      <c r="L34" s="6">
        <f t="shared" si="3"/>
        <v>1369166.6666666667</v>
      </c>
      <c r="N34" s="1">
        <f t="shared" si="4"/>
        <v>1169086.3610557134</v>
      </c>
    </row>
    <row r="35" spans="1:14" x14ac:dyDescent="0.2">
      <c r="A35" s="1">
        <v>1692</v>
      </c>
      <c r="B35" s="1">
        <v>0</v>
      </c>
      <c r="C35" s="1">
        <v>2</v>
      </c>
      <c r="D35" s="1">
        <v>3</v>
      </c>
      <c r="E35" s="1">
        <v>2</v>
      </c>
      <c r="F35" s="1">
        <v>2</v>
      </c>
      <c r="G35" s="1">
        <v>0</v>
      </c>
      <c r="H35" s="1">
        <v>0</v>
      </c>
      <c r="I35" s="1">
        <f t="shared" si="2"/>
        <v>9</v>
      </c>
      <c r="J35" s="1">
        <f>B35*B$26+C35*C$26+D34*D$26+E35*E$26+F35*F$26+G35*G$26+H35*H$26</f>
        <v>620000</v>
      </c>
      <c r="K35" s="1">
        <v>37</v>
      </c>
      <c r="L35" s="6">
        <f t="shared" si="3"/>
        <v>2548888.8888888885</v>
      </c>
      <c r="N35" s="1">
        <f t="shared" si="4"/>
        <v>2176412.3451100071</v>
      </c>
    </row>
    <row r="36" spans="1:14" x14ac:dyDescent="0.2">
      <c r="A36" s="1">
        <v>1693</v>
      </c>
      <c r="B36" s="1">
        <v>2</v>
      </c>
      <c r="C36" s="1">
        <v>9</v>
      </c>
      <c r="D36" s="1">
        <v>1</v>
      </c>
      <c r="E36" s="1">
        <v>7</v>
      </c>
      <c r="F36" s="1">
        <v>2</v>
      </c>
      <c r="G36" s="1">
        <v>0</v>
      </c>
      <c r="H36" s="1">
        <v>0</v>
      </c>
      <c r="I36" s="1">
        <f t="shared" si="2"/>
        <v>21</v>
      </c>
      <c r="J36" s="1">
        <f>B36*B$26+C36*C$26+D35*D$26+E36*E$26+F36*F$26+G36*G$26+H36*H$26</f>
        <v>888000</v>
      </c>
      <c r="K36" s="1">
        <v>89</v>
      </c>
      <c r="L36" s="6">
        <f t="shared" si="3"/>
        <v>3763428.5714285714</v>
      </c>
      <c r="N36" s="1">
        <f t="shared" si="4"/>
        <v>3213467.8127799365</v>
      </c>
    </row>
    <row r="37" spans="1:14" x14ac:dyDescent="0.2">
      <c r="A37" s="1">
        <v>1694</v>
      </c>
      <c r="B37" s="1">
        <v>6</v>
      </c>
      <c r="C37" s="1">
        <v>12</v>
      </c>
      <c r="D37" s="1">
        <v>10</v>
      </c>
      <c r="E37" s="1">
        <v>10</v>
      </c>
      <c r="F37" s="1">
        <v>5</v>
      </c>
      <c r="G37" s="1">
        <v>0</v>
      </c>
      <c r="H37" s="1">
        <v>0</v>
      </c>
      <c r="I37" s="1">
        <f t="shared" si="2"/>
        <v>43</v>
      </c>
      <c r="J37" s="1">
        <f>B37*B$26+C37*C$26+D36*D$26+E37*E$26+F37*F$26+G37*G$26+H37*H$26</f>
        <v>1334000</v>
      </c>
      <c r="K37" s="1">
        <v>89</v>
      </c>
      <c r="L37" s="6">
        <f t="shared" si="3"/>
        <v>2761069.7674418604</v>
      </c>
      <c r="N37" s="1">
        <f t="shared" si="4"/>
        <v>2357586.6150014964</v>
      </c>
    </row>
    <row r="38" spans="1:14" x14ac:dyDescent="0.2">
      <c r="A38" s="1">
        <v>1695</v>
      </c>
      <c r="B38" s="1">
        <v>8</v>
      </c>
      <c r="C38" s="1">
        <v>11</v>
      </c>
      <c r="D38" s="1">
        <v>8</v>
      </c>
      <c r="E38" s="1">
        <v>7</v>
      </c>
      <c r="F38" s="1">
        <v>2</v>
      </c>
      <c r="G38" s="1">
        <v>0</v>
      </c>
      <c r="H38" s="1">
        <v>0</v>
      </c>
      <c r="I38" s="1">
        <f t="shared" si="2"/>
        <v>36</v>
      </c>
      <c r="J38" s="1">
        <f>B38*B$26+C38*C$26+D37*D$26+E38*E$26+F38*F$26+G38*G$26+H38*H$26</f>
        <v>1212000</v>
      </c>
      <c r="K38" s="1">
        <v>62</v>
      </c>
      <c r="L38" s="6">
        <f t="shared" si="3"/>
        <v>2087333.3333333335</v>
      </c>
      <c r="N38" s="1">
        <f t="shared" si="4"/>
        <v>1782305.2447792762</v>
      </c>
    </row>
    <row r="39" spans="1:14" x14ac:dyDescent="0.2">
      <c r="A39" s="1">
        <v>1696</v>
      </c>
      <c r="B39" s="1">
        <v>13</v>
      </c>
      <c r="C39" s="1">
        <v>29</v>
      </c>
      <c r="D39" s="1">
        <v>25</v>
      </c>
      <c r="E39" s="1">
        <v>8</v>
      </c>
      <c r="F39" s="1">
        <v>6</v>
      </c>
      <c r="G39" s="1">
        <v>1</v>
      </c>
      <c r="H39" s="1">
        <v>0</v>
      </c>
      <c r="I39" s="1">
        <f t="shared" si="2"/>
        <v>82</v>
      </c>
      <c r="J39" s="1">
        <f>B39*B$26+C39*C$26+D38*D$26+E39*E$26+F39*F$26+G39*G$26+H39*H$26</f>
        <v>1872000</v>
      </c>
      <c r="K39" s="1">
        <v>84</v>
      </c>
      <c r="L39" s="6">
        <f t="shared" si="3"/>
        <v>1917658.5365853659</v>
      </c>
      <c r="N39" s="1">
        <f t="shared" si="4"/>
        <v>1637425.5193796786</v>
      </c>
    </row>
    <row r="40" spans="1:14" x14ac:dyDescent="0.2">
      <c r="A40" s="1">
        <v>1697</v>
      </c>
      <c r="B40" s="1">
        <v>2</v>
      </c>
      <c r="C40" s="1">
        <v>7</v>
      </c>
      <c r="D40" s="1">
        <v>8</v>
      </c>
      <c r="E40" s="1">
        <v>3</v>
      </c>
      <c r="F40" s="1">
        <v>1</v>
      </c>
      <c r="G40" s="1">
        <v>1</v>
      </c>
      <c r="H40" s="1">
        <v>0</v>
      </c>
      <c r="I40" s="1">
        <f t="shared" si="2"/>
        <v>22</v>
      </c>
      <c r="J40" s="1">
        <f>B40*B$26+C40*C$26+D39*D$26+E40*E$26+F40*F$26+G40*G$26+H40*H$26</f>
        <v>1488000</v>
      </c>
      <c r="K40" s="1">
        <v>27</v>
      </c>
      <c r="L40" s="6">
        <f t="shared" si="3"/>
        <v>1826181.8181818181</v>
      </c>
      <c r="N40" s="1">
        <f t="shared" si="4"/>
        <v>1559316.5597888895</v>
      </c>
    </row>
    <row r="41" spans="1:14" x14ac:dyDescent="0.2">
      <c r="B41" s="1">
        <f>SUM(B31:B40)</f>
        <v>40</v>
      </c>
      <c r="C41" s="1">
        <f t="shared" ref="C41:I41" si="5">SUM(C31:C40)</f>
        <v>101</v>
      </c>
      <c r="D41" s="1">
        <f t="shared" si="5"/>
        <v>85</v>
      </c>
      <c r="E41" s="1">
        <f t="shared" si="5"/>
        <v>52</v>
      </c>
      <c r="F41" s="1">
        <f t="shared" si="5"/>
        <v>28</v>
      </c>
      <c r="G41" s="1">
        <f t="shared" si="5"/>
        <v>2</v>
      </c>
      <c r="H41" s="1">
        <f t="shared" si="5"/>
        <v>0</v>
      </c>
      <c r="I41" s="1">
        <f t="shared" si="5"/>
        <v>308</v>
      </c>
      <c r="J41" s="1">
        <f>SUM(J31:J40)</f>
        <v>10910000</v>
      </c>
      <c r="K41" s="1">
        <f>SUM(K31:K40)</f>
        <v>529</v>
      </c>
      <c r="L41" s="1">
        <f>K41/I41*J41</f>
        <v>18738279.220779222</v>
      </c>
      <c r="N41" s="1">
        <f>SUM(N31:N40)</f>
        <v>17244349.732172783</v>
      </c>
    </row>
    <row r="42" spans="1:14" x14ac:dyDescent="0.2">
      <c r="K42" s="1" t="s">
        <v>92</v>
      </c>
      <c r="L42" s="1" t="s">
        <v>93</v>
      </c>
      <c r="N42" s="1" t="s">
        <v>89</v>
      </c>
    </row>
    <row r="43" spans="1:14" x14ac:dyDescent="0.2">
      <c r="K43" s="1" t="s">
        <v>94</v>
      </c>
    </row>
    <row r="44" spans="1:14" x14ac:dyDescent="0.2">
      <c r="A44" s="1" t="s">
        <v>90</v>
      </c>
    </row>
    <row r="45" spans="1:14" x14ac:dyDescent="0.2">
      <c r="B45" s="1" t="s">
        <v>74</v>
      </c>
      <c r="C45" s="1" t="s">
        <v>75</v>
      </c>
      <c r="D45" s="1" t="s">
        <v>76</v>
      </c>
      <c r="E45" s="1" t="s">
        <v>77</v>
      </c>
      <c r="F45" s="1" t="s">
        <v>78</v>
      </c>
      <c r="G45" s="1" t="s">
        <v>79</v>
      </c>
      <c r="H45" s="1" t="s">
        <v>80</v>
      </c>
      <c r="I45" s="1" t="s">
        <v>88</v>
      </c>
      <c r="K45" s="1" t="s">
        <v>85</v>
      </c>
      <c r="L45" s="1" t="s">
        <v>86</v>
      </c>
    </row>
    <row r="46" spans="1:14" x14ac:dyDescent="0.2">
      <c r="A46" s="1">
        <v>1688</v>
      </c>
      <c r="B46" s="1">
        <v>4</v>
      </c>
      <c r="C46" s="1">
        <v>13</v>
      </c>
      <c r="D46" s="1">
        <v>5</v>
      </c>
      <c r="E46" s="1">
        <v>4</v>
      </c>
      <c r="F46" s="1">
        <v>3</v>
      </c>
      <c r="G46" s="1">
        <v>0</v>
      </c>
      <c r="H46" s="1">
        <v>0</v>
      </c>
      <c r="I46" s="1">
        <f>SUM(B46:H46)</f>
        <v>29</v>
      </c>
      <c r="J46" s="1">
        <f>B46*B$26+C46*C$26+D46*D$26+E46*E$26+F46*F$26+G46*G$26+H46*H$26</f>
        <v>896000</v>
      </c>
      <c r="K46" s="1">
        <v>30</v>
      </c>
      <c r="L46" s="1">
        <f>K46/I46*J46</f>
        <v>926896.55172413797</v>
      </c>
      <c r="N46" s="1">
        <f>L46*16000000/L$41</f>
        <v>791446.46383220539</v>
      </c>
    </row>
    <row r="47" spans="1:14" x14ac:dyDescent="0.2">
      <c r="A47" s="1">
        <v>1689</v>
      </c>
      <c r="B47" s="1">
        <v>10</v>
      </c>
      <c r="C47" s="1">
        <v>14</v>
      </c>
      <c r="D47" s="1">
        <v>6</v>
      </c>
      <c r="E47" s="1">
        <v>4</v>
      </c>
      <c r="F47" s="1">
        <v>1</v>
      </c>
      <c r="G47" s="1">
        <v>0</v>
      </c>
      <c r="H47" s="1">
        <v>0</v>
      </c>
      <c r="I47" s="1">
        <f t="shared" ref="I47:I54" si="6">SUM(B47:H47)</f>
        <v>35</v>
      </c>
      <c r="J47" s="1">
        <f>B47*B$26+C47*C$26+D47*D$26+E47*E$26+F47*F$26+G47*G$26+H47*H$26</f>
        <v>790000</v>
      </c>
      <c r="K47" s="1">
        <v>51</v>
      </c>
      <c r="L47" s="1">
        <f t="shared" ref="L47:L55" si="7">K47/I47*J47</f>
        <v>1151142.857142857</v>
      </c>
      <c r="N47" s="1">
        <f t="shared" ref="N47:N55" si="8">L47*16000000/L$41</f>
        <v>982923.00468344695</v>
      </c>
    </row>
    <row r="48" spans="1:14" x14ac:dyDescent="0.2">
      <c r="A48" s="1">
        <v>1690</v>
      </c>
      <c r="B48" s="1">
        <v>2</v>
      </c>
      <c r="C48" s="1">
        <v>12</v>
      </c>
      <c r="D48" s="1">
        <v>13</v>
      </c>
      <c r="E48" s="1">
        <v>6</v>
      </c>
      <c r="F48" s="1">
        <v>3</v>
      </c>
      <c r="G48" s="1">
        <v>0</v>
      </c>
      <c r="H48" s="1">
        <v>0</v>
      </c>
      <c r="I48" s="1">
        <f t="shared" si="6"/>
        <v>36</v>
      </c>
      <c r="J48" s="1">
        <f>B48*B$26+C48*C$26+D48*D$26+E48*E$26+F48*F$26+G48*G$26+H48*H$26</f>
        <v>1338000</v>
      </c>
      <c r="K48" s="1">
        <v>57</v>
      </c>
      <c r="L48" s="1">
        <f t="shared" si="7"/>
        <v>2118500</v>
      </c>
      <c r="N48" s="1">
        <f t="shared" si="8"/>
        <v>1808917.4358343484</v>
      </c>
    </row>
    <row r="49" spans="1:14" x14ac:dyDescent="0.2">
      <c r="A49" s="1">
        <v>1691</v>
      </c>
      <c r="B49" s="1">
        <v>0</v>
      </c>
      <c r="C49" s="1">
        <v>7</v>
      </c>
      <c r="D49" s="1">
        <v>7</v>
      </c>
      <c r="E49" s="1">
        <v>2</v>
      </c>
      <c r="F49" s="1">
        <v>1</v>
      </c>
      <c r="G49" s="1">
        <v>0</v>
      </c>
      <c r="H49" s="1">
        <v>0</v>
      </c>
      <c r="I49" s="1">
        <f t="shared" si="6"/>
        <v>17</v>
      </c>
      <c r="J49" s="1">
        <f>B49*B$26+C49*C$26+D49*D$26+E49*E$26+F49*F$26+G49*G$26+H49*H$26</f>
        <v>580000</v>
      </c>
      <c r="K49" s="1">
        <v>34</v>
      </c>
      <c r="L49" s="1">
        <f t="shared" si="7"/>
        <v>1160000</v>
      </c>
      <c r="N49" s="1">
        <f t="shared" si="8"/>
        <v>990485.82750429271</v>
      </c>
    </row>
    <row r="50" spans="1:14" x14ac:dyDescent="0.2">
      <c r="A50" s="1">
        <v>1692</v>
      </c>
      <c r="B50" s="1">
        <v>0</v>
      </c>
      <c r="C50" s="1">
        <v>2</v>
      </c>
      <c r="D50" s="1">
        <v>5</v>
      </c>
      <c r="E50" s="1">
        <v>4</v>
      </c>
      <c r="F50" s="1">
        <v>3</v>
      </c>
      <c r="G50" s="1">
        <v>0</v>
      </c>
      <c r="H50" s="1">
        <v>0</v>
      </c>
      <c r="I50" s="1">
        <f t="shared" si="6"/>
        <v>14</v>
      </c>
      <c r="J50" s="1">
        <f>B50*B$26+C50*C$26+D49*D$26+E50*E$26+F50*F$26+G50*G$26+H50*H$26</f>
        <v>850000</v>
      </c>
      <c r="K50" s="1">
        <v>37</v>
      </c>
      <c r="L50" s="1">
        <f t="shared" si="7"/>
        <v>2246428.5714285714</v>
      </c>
      <c r="N50" s="1">
        <f t="shared" si="8"/>
        <v>1918151.433190271</v>
      </c>
    </row>
    <row r="51" spans="1:14" x14ac:dyDescent="0.2">
      <c r="A51" s="1">
        <v>1693</v>
      </c>
      <c r="B51" s="1">
        <v>2</v>
      </c>
      <c r="C51" s="1">
        <v>9</v>
      </c>
      <c r="D51" s="1">
        <v>8</v>
      </c>
      <c r="E51" s="1">
        <v>9</v>
      </c>
      <c r="F51" s="1">
        <v>4</v>
      </c>
      <c r="G51" s="1">
        <v>0</v>
      </c>
      <c r="H51" s="1">
        <v>0</v>
      </c>
      <c r="I51" s="1">
        <f t="shared" si="6"/>
        <v>32</v>
      </c>
      <c r="J51" s="1">
        <f>B51*B$26+C51*C$26+D50*D$26+E51*E$26+F51*F$26+G51*G$26+H51*H$26</f>
        <v>1288000</v>
      </c>
      <c r="K51" s="1">
        <v>75</v>
      </c>
      <c r="L51" s="1">
        <f t="shared" si="7"/>
        <v>3018750</v>
      </c>
      <c r="N51" s="1">
        <f t="shared" si="8"/>
        <v>2577611.2860160205</v>
      </c>
    </row>
    <row r="52" spans="1:14" x14ac:dyDescent="0.2">
      <c r="A52" s="1">
        <v>1694</v>
      </c>
      <c r="B52" s="1">
        <v>4</v>
      </c>
      <c r="C52" s="1">
        <v>10</v>
      </c>
      <c r="D52" s="1">
        <v>17</v>
      </c>
      <c r="E52" s="1">
        <v>14</v>
      </c>
      <c r="F52" s="1">
        <v>6</v>
      </c>
      <c r="G52" s="1">
        <v>0</v>
      </c>
      <c r="H52" s="1">
        <v>0</v>
      </c>
      <c r="I52" s="1">
        <f t="shared" si="6"/>
        <v>51</v>
      </c>
      <c r="J52" s="1">
        <f>B52*B$26+C52*C$26+D51*D$26+E52*E$26+F52*F$26+G52*G$26+H52*H$26</f>
        <v>1956000</v>
      </c>
      <c r="K52" s="1">
        <v>93</v>
      </c>
      <c r="L52" s="1">
        <f t="shared" si="7"/>
        <v>3566823.5294117648</v>
      </c>
      <c r="N52" s="1">
        <f t="shared" si="8"/>
        <v>3045593.2371475808</v>
      </c>
    </row>
    <row r="53" spans="1:14" x14ac:dyDescent="0.2">
      <c r="A53" s="1">
        <v>1695</v>
      </c>
      <c r="B53" s="1">
        <v>7</v>
      </c>
      <c r="C53" s="1">
        <v>16</v>
      </c>
      <c r="D53" s="1">
        <v>12</v>
      </c>
      <c r="E53" s="1">
        <v>9</v>
      </c>
      <c r="F53" s="1">
        <v>2</v>
      </c>
      <c r="G53" s="1">
        <v>0</v>
      </c>
      <c r="H53" s="1">
        <v>0</v>
      </c>
      <c r="I53" s="1">
        <f t="shared" si="6"/>
        <v>46</v>
      </c>
      <c r="J53" s="1">
        <f>B53*B$26+C53*C$26+D52*D$26+E53*E$26+F53*F$26+G53*G$26+H53*H$26</f>
        <v>1678000</v>
      </c>
      <c r="K53" s="1">
        <v>61</v>
      </c>
      <c r="L53" s="1">
        <f t="shared" si="7"/>
        <v>2225173.913043478</v>
      </c>
      <c r="N53" s="1">
        <f t="shared" si="8"/>
        <v>1900002.7798291675</v>
      </c>
    </row>
    <row r="54" spans="1:14" x14ac:dyDescent="0.2">
      <c r="A54" s="1">
        <v>1696</v>
      </c>
      <c r="B54" s="1">
        <v>13</v>
      </c>
      <c r="C54" s="1">
        <v>30</v>
      </c>
      <c r="D54" s="1">
        <v>26</v>
      </c>
      <c r="E54" s="1">
        <v>8</v>
      </c>
      <c r="F54" s="1">
        <v>8</v>
      </c>
      <c r="G54" s="1">
        <v>1</v>
      </c>
      <c r="H54" s="1">
        <v>0</v>
      </c>
      <c r="I54" s="1">
        <f t="shared" si="6"/>
        <v>86</v>
      </c>
      <c r="J54" s="1">
        <f>B54*B$26+C54*C$26+D53*D$26+E54*E$26+F54*F$26+G54*G$26+H54*H$26</f>
        <v>2222000</v>
      </c>
      <c r="K54" s="1">
        <v>89</v>
      </c>
      <c r="L54" s="1">
        <f t="shared" si="7"/>
        <v>2299511.6279069767</v>
      </c>
      <c r="N54" s="1">
        <f t="shared" si="8"/>
        <v>1963477.308295849</v>
      </c>
    </row>
    <row r="55" spans="1:14" x14ac:dyDescent="0.2">
      <c r="A55" s="1">
        <v>1697</v>
      </c>
      <c r="B55" s="1">
        <v>2</v>
      </c>
      <c r="C55" s="1">
        <v>8</v>
      </c>
      <c r="D55" s="1">
        <v>12</v>
      </c>
      <c r="E55" s="1">
        <v>4</v>
      </c>
      <c r="F55" s="1">
        <v>1</v>
      </c>
      <c r="G55" s="1">
        <v>1</v>
      </c>
      <c r="H55" s="1">
        <v>0</v>
      </c>
      <c r="I55" s="1">
        <f>SUM(B55:H55)</f>
        <v>28</v>
      </c>
      <c r="J55" s="1">
        <f>B55*B$26+C55*C$26+D54*D$26+E55*E$26+F55*F$26+G55*G$26+H55*H$26</f>
        <v>1608000</v>
      </c>
      <c r="K55" s="1">
        <v>34</v>
      </c>
      <c r="L55" s="1">
        <f t="shared" si="7"/>
        <v>1952571.4285714284</v>
      </c>
      <c r="N55" s="1">
        <f t="shared" si="8"/>
        <v>1667236.4889567329</v>
      </c>
    </row>
    <row r="56" spans="1:14" x14ac:dyDescent="0.2">
      <c r="B56" s="1">
        <f>SUM(B46:B55)</f>
        <v>44</v>
      </c>
      <c r="C56" s="1">
        <f t="shared" ref="C56" si="9">SUM(C46:C55)</f>
        <v>121</v>
      </c>
      <c r="D56" s="1">
        <f t="shared" ref="D56" si="10">SUM(D46:D55)</f>
        <v>111</v>
      </c>
      <c r="E56" s="1">
        <f t="shared" ref="E56" si="11">SUM(E46:E55)</f>
        <v>64</v>
      </c>
      <c r="F56" s="1">
        <f t="shared" ref="F56" si="12">SUM(F46:F55)</f>
        <v>32</v>
      </c>
      <c r="G56" s="1">
        <f t="shared" ref="G56" si="13">SUM(G46:G55)</f>
        <v>2</v>
      </c>
      <c r="H56" s="1">
        <f t="shared" ref="H56" si="14">SUM(H46:H55)</f>
        <v>0</v>
      </c>
      <c r="I56" s="1">
        <f t="shared" ref="I56" si="15">SUM(I46:I55)</f>
        <v>374</v>
      </c>
      <c r="J56" s="1">
        <f>SUM(J46:J55)</f>
        <v>13206000</v>
      </c>
      <c r="K56" s="1">
        <f>SUM(K46:K55)</f>
        <v>561</v>
      </c>
      <c r="L56" s="1">
        <f>SUM(L46:L55)</f>
        <v>20665798.479229216</v>
      </c>
      <c r="N56" s="1">
        <f>SUM(N46:N55)</f>
        <v>17645845.265289918</v>
      </c>
    </row>
    <row r="57" spans="1:14" x14ac:dyDescent="0.2">
      <c r="L57" s="1" t="s">
        <v>91</v>
      </c>
      <c r="N57" s="1" t="s">
        <v>89</v>
      </c>
    </row>
    <row r="58" spans="1:14" x14ac:dyDescent="0.2">
      <c r="L58" s="1" t="s">
        <v>95</v>
      </c>
    </row>
    <row r="59" spans="1:14" x14ac:dyDescent="0.2">
      <c r="A59" s="1" t="s">
        <v>102</v>
      </c>
    </row>
    <row r="60" spans="1:14" x14ac:dyDescent="0.2">
      <c r="A60" s="1" t="s">
        <v>96</v>
      </c>
    </row>
    <row r="61" spans="1:14" x14ac:dyDescent="0.2">
      <c r="A61" s="1" t="s">
        <v>1</v>
      </c>
      <c r="B61" s="1">
        <v>299</v>
      </c>
    </row>
    <row r="62" spans="1:14" x14ac:dyDescent="0.2">
      <c r="A62" s="1" t="s">
        <v>2</v>
      </c>
      <c r="B62" s="1">
        <v>83</v>
      </c>
    </row>
    <row r="63" spans="1:14" x14ac:dyDescent="0.2">
      <c r="A63" s="1" t="s">
        <v>97</v>
      </c>
      <c r="B63" s="1">
        <f>493-B61-B62</f>
        <v>111</v>
      </c>
    </row>
    <row r="64" spans="1:14" x14ac:dyDescent="0.2">
      <c r="A64" s="1" t="s">
        <v>98</v>
      </c>
      <c r="B64" s="1">
        <v>181</v>
      </c>
    </row>
    <row r="65" spans="1:7" x14ac:dyDescent="0.2">
      <c r="A65" s="1" t="s">
        <v>99</v>
      </c>
      <c r="B65" s="1">
        <v>51</v>
      </c>
    </row>
    <row r="66" spans="1:7" x14ac:dyDescent="0.2">
      <c r="A66" s="1" t="s">
        <v>100</v>
      </c>
      <c r="B66" s="1">
        <v>21</v>
      </c>
    </row>
    <row r="67" spans="1:7" x14ac:dyDescent="0.2">
      <c r="B67" s="1">
        <f>SUM(B61:B66)</f>
        <v>746</v>
      </c>
      <c r="C67" s="1" t="s">
        <v>101</v>
      </c>
      <c r="D67" s="1" t="s">
        <v>106</v>
      </c>
      <c r="G67" s="5">
        <f>(B61+B62)/B67</f>
        <v>0.51206434316353888</v>
      </c>
    </row>
    <row r="69" spans="1:7" x14ac:dyDescent="0.2">
      <c r="A69" s="1" t="s">
        <v>104</v>
      </c>
    </row>
    <row r="70" spans="1:7" x14ac:dyDescent="0.2">
      <c r="A70" s="1">
        <v>1688</v>
      </c>
      <c r="B70" s="3">
        <f>(J12+L31)/G$67/1000</f>
        <v>3210.9924125976399</v>
      </c>
    </row>
    <row r="71" spans="1:7" x14ac:dyDescent="0.2">
      <c r="A71" s="1">
        <v>1689</v>
      </c>
      <c r="B71" s="3">
        <f t="shared" ref="B71:B79" si="16">(J13+L32)/G$67/1000</f>
        <v>7106.1158947627182</v>
      </c>
    </row>
    <row r="72" spans="1:7" x14ac:dyDescent="0.2">
      <c r="A72" s="1">
        <v>1690</v>
      </c>
      <c r="B72" s="3">
        <f t="shared" si="16"/>
        <v>8511.7138891669947</v>
      </c>
    </row>
    <row r="73" spans="1:7" x14ac:dyDescent="0.2">
      <c r="A73" s="1">
        <v>1691</v>
      </c>
      <c r="B73" s="3">
        <f t="shared" si="16"/>
        <v>7994.8762900056336</v>
      </c>
    </row>
    <row r="74" spans="1:7" x14ac:dyDescent="0.2">
      <c r="A74" s="1">
        <v>1692</v>
      </c>
      <c r="B74" s="3">
        <f t="shared" si="16"/>
        <v>12383.894555065433</v>
      </c>
    </row>
    <row r="75" spans="1:7" x14ac:dyDescent="0.2">
      <c r="A75" s="1">
        <v>1693</v>
      </c>
      <c r="B75" s="3">
        <f t="shared" si="16"/>
        <v>12995.036272298423</v>
      </c>
    </row>
    <row r="76" spans="1:7" x14ac:dyDescent="0.2">
      <c r="A76" s="1">
        <v>1694</v>
      </c>
      <c r="B76" s="3">
        <f t="shared" si="16"/>
        <v>11660.503440387862</v>
      </c>
    </row>
    <row r="77" spans="1:7" x14ac:dyDescent="0.2">
      <c r="A77" s="1">
        <v>1695</v>
      </c>
      <c r="B77" s="3">
        <f t="shared" si="16"/>
        <v>11339.772024570229</v>
      </c>
    </row>
    <row r="78" spans="1:7" x14ac:dyDescent="0.2">
      <c r="A78" s="1">
        <v>1696</v>
      </c>
      <c r="B78" s="3">
        <f t="shared" si="16"/>
        <v>10208.095747066222</v>
      </c>
    </row>
    <row r="79" spans="1:7" x14ac:dyDescent="0.2">
      <c r="A79" s="1">
        <v>1697</v>
      </c>
      <c r="B79" s="3">
        <f t="shared" si="16"/>
        <v>9220.4787721382509</v>
      </c>
    </row>
    <row r="80" spans="1:7" x14ac:dyDescent="0.2">
      <c r="B80" s="1">
        <f>SUM(B70:B79)</f>
        <v>94631.479298059392</v>
      </c>
    </row>
    <row r="82" spans="1:12" x14ac:dyDescent="0.2">
      <c r="A82" s="1" t="s">
        <v>72</v>
      </c>
      <c r="C82" s="1">
        <v>58500000</v>
      </c>
      <c r="D82" s="1" t="s">
        <v>103</v>
      </c>
      <c r="H82" s="1" t="s">
        <v>73</v>
      </c>
    </row>
    <row r="83" spans="1:12" x14ac:dyDescent="0.2">
      <c r="A83" s="1" t="s">
        <v>107</v>
      </c>
      <c r="J83" s="1" t="s">
        <v>108</v>
      </c>
      <c r="L83" s="1">
        <f>0.75*J22</f>
        <v>21196362.204724412</v>
      </c>
    </row>
    <row r="84" spans="1:12" x14ac:dyDescent="0.2">
      <c r="A84" s="1" t="s">
        <v>109</v>
      </c>
      <c r="L84" s="1">
        <f>C82/22000000*L83</f>
        <v>56363054.044380829</v>
      </c>
    </row>
    <row r="85" spans="1:12" x14ac:dyDescent="0.2">
      <c r="A85" s="1" t="s">
        <v>110</v>
      </c>
      <c r="E85" s="1">
        <f>C82+L84</f>
        <v>114863054.04438083</v>
      </c>
    </row>
    <row r="86" spans="1:12" x14ac:dyDescent="0.2">
      <c r="A86" s="1" t="s">
        <v>111</v>
      </c>
      <c r="E86" s="1">
        <f>E85/G67</f>
        <v>224313712.87201074</v>
      </c>
    </row>
    <row r="87" spans="1:12" x14ac:dyDescent="0.2">
      <c r="A87" s="1" t="s">
        <v>112</v>
      </c>
    </row>
    <row r="89" spans="1:12" x14ac:dyDescent="0.2">
      <c r="A89" s="1">
        <v>1688</v>
      </c>
      <c r="B89" s="3">
        <f>B70*E$86/B$80/1000</f>
        <v>7611.3111135567196</v>
      </c>
    </row>
    <row r="90" spans="1:12" x14ac:dyDescent="0.2">
      <c r="A90" s="1">
        <v>1689</v>
      </c>
      <c r="B90" s="3">
        <f t="shared" ref="B90:B98" si="17">B71*E$86/B$80/1000</f>
        <v>16844.281123752065</v>
      </c>
    </row>
    <row r="91" spans="1:12" x14ac:dyDescent="0.2">
      <c r="A91" s="1">
        <v>1690</v>
      </c>
      <c r="B91" s="3">
        <f t="shared" si="17"/>
        <v>20176.099534169123</v>
      </c>
    </row>
    <row r="92" spans="1:12" x14ac:dyDescent="0.2">
      <c r="A92" s="1">
        <v>1691</v>
      </c>
      <c r="B92" s="3">
        <f t="shared" si="17"/>
        <v>18950.991761579138</v>
      </c>
    </row>
    <row r="93" spans="1:12" x14ac:dyDescent="0.2">
      <c r="A93" s="1">
        <v>1692</v>
      </c>
      <c r="B93" s="3">
        <f t="shared" si="17"/>
        <v>29354.686073465731</v>
      </c>
    </row>
    <row r="94" spans="1:12" x14ac:dyDescent="0.2">
      <c r="A94" s="1">
        <v>1693</v>
      </c>
      <c r="B94" s="3">
        <f t="shared" si="17"/>
        <v>30803.331584456068</v>
      </c>
    </row>
    <row r="95" spans="1:12" x14ac:dyDescent="0.2">
      <c r="A95" s="1">
        <v>1694</v>
      </c>
      <c r="B95" s="3">
        <f t="shared" si="17"/>
        <v>27639.965475250632</v>
      </c>
    </row>
    <row r="96" spans="1:12" x14ac:dyDescent="0.2">
      <c r="A96" s="1">
        <v>1695</v>
      </c>
      <c r="B96" s="3">
        <f t="shared" si="17"/>
        <v>26879.706254424676</v>
      </c>
    </row>
    <row r="97" spans="1:2" x14ac:dyDescent="0.2">
      <c r="A97" s="1">
        <v>1696</v>
      </c>
      <c r="B97" s="3">
        <f t="shared" si="17"/>
        <v>24197.189723360516</v>
      </c>
    </row>
    <row r="98" spans="1:2" x14ac:dyDescent="0.2">
      <c r="A98" s="1">
        <v>1697</v>
      </c>
      <c r="B98" s="3">
        <f t="shared" si="17"/>
        <v>21856.150227996106</v>
      </c>
    </row>
    <row r="100" spans="1:2" x14ac:dyDescent="0.2">
      <c r="A100" s="1" t="s">
        <v>113</v>
      </c>
    </row>
    <row r="101" spans="1:2" x14ac:dyDescent="0.2">
      <c r="A101" s="1" t="s">
        <v>114</v>
      </c>
    </row>
    <row r="102" spans="1:2" x14ac:dyDescent="0.2">
      <c r="A102" s="1" t="s">
        <v>115</v>
      </c>
    </row>
    <row r="103" spans="1:2" x14ac:dyDescent="0.2">
      <c r="A103" s="1" t="s">
        <v>116</v>
      </c>
    </row>
    <row r="108" spans="1:2" x14ac:dyDescent="0.2">
      <c r="A108" s="1" t="s">
        <v>68</v>
      </c>
    </row>
    <row r="112" spans="1:2" x14ac:dyDescent="0.2">
      <c r="A112" s="1" t="s">
        <v>0</v>
      </c>
    </row>
    <row r="113" spans="1:5" x14ac:dyDescent="0.2">
      <c r="B113" s="1" t="s">
        <v>1</v>
      </c>
      <c r="C113" s="1" t="s">
        <v>2</v>
      </c>
      <c r="D113" s="1" t="s">
        <v>3</v>
      </c>
    </row>
    <row r="114" spans="1:5" x14ac:dyDescent="0.2">
      <c r="A114" s="1">
        <v>1744</v>
      </c>
      <c r="B114" s="1">
        <f>865</f>
        <v>865</v>
      </c>
      <c r="C114" s="1">
        <v>915</v>
      </c>
      <c r="D114" s="1">
        <v>880</v>
      </c>
    </row>
    <row r="115" spans="1:5" x14ac:dyDescent="0.2">
      <c r="A115" s="1">
        <v>1745</v>
      </c>
      <c r="B115" s="1">
        <v>630</v>
      </c>
      <c r="C115" s="1">
        <v>2872</v>
      </c>
      <c r="D115" s="1">
        <v>1690</v>
      </c>
    </row>
    <row r="116" spans="1:5" x14ac:dyDescent="0.2">
      <c r="A116" s="1">
        <v>1746</v>
      </c>
      <c r="B116" s="1">
        <v>747</v>
      </c>
      <c r="C116" s="1">
        <v>2820</v>
      </c>
      <c r="D116" s="1">
        <v>1657</v>
      </c>
    </row>
    <row r="117" spans="1:5" x14ac:dyDescent="0.2">
      <c r="A117" s="1">
        <v>1747</v>
      </c>
      <c r="B117" s="1">
        <v>492</v>
      </c>
      <c r="C117" s="1">
        <v>1655</v>
      </c>
      <c r="D117" s="1">
        <v>1657</v>
      </c>
    </row>
    <row r="118" spans="1:5" x14ac:dyDescent="0.2">
      <c r="A118" s="1">
        <v>1748</v>
      </c>
      <c r="B118" s="1">
        <v>558</v>
      </c>
      <c r="C118" s="1">
        <v>340</v>
      </c>
      <c r="D118" s="1">
        <v>937</v>
      </c>
    </row>
    <row r="120" spans="1:5" x14ac:dyDescent="0.2">
      <c r="A120" s="1" t="s">
        <v>4</v>
      </c>
      <c r="E120" s="2">
        <f>4800/3292</f>
        <v>1.4580801944106927</v>
      </c>
    </row>
    <row r="121" spans="1:5" x14ac:dyDescent="0.2">
      <c r="A121" s="1" t="s">
        <v>5</v>
      </c>
      <c r="E121" s="2">
        <f>7300/6821</f>
        <v>1.0702243072863216</v>
      </c>
    </row>
    <row r="122" spans="1:5" x14ac:dyDescent="0.2">
      <c r="B122" s="1" t="s">
        <v>1</v>
      </c>
      <c r="C122" s="1" t="s">
        <v>2</v>
      </c>
      <c r="D122" s="1" t="s">
        <v>3</v>
      </c>
    </row>
    <row r="123" spans="1:5" x14ac:dyDescent="0.2">
      <c r="A123" s="1">
        <v>1744</v>
      </c>
      <c r="B123" s="1">
        <f>B114*$E$120</f>
        <v>1261.2393681652493</v>
      </c>
      <c r="C123" s="1">
        <f>C114</f>
        <v>915</v>
      </c>
      <c r="D123" s="1">
        <f>D114*$E$121</f>
        <v>941.79739041196297</v>
      </c>
    </row>
    <row r="124" spans="1:5" x14ac:dyDescent="0.2">
      <c r="A124" s="1">
        <v>1745</v>
      </c>
      <c r="B124" s="1">
        <f>B115*$E$120</f>
        <v>918.59052247873637</v>
      </c>
      <c r="C124" s="1">
        <f t="shared" ref="C124:C127" si="18">C115</f>
        <v>2872</v>
      </c>
      <c r="D124" s="1">
        <f>D115*$E$121</f>
        <v>1808.6790793138834</v>
      </c>
    </row>
    <row r="125" spans="1:5" x14ac:dyDescent="0.2">
      <c r="A125" s="1">
        <v>1746</v>
      </c>
      <c r="B125" s="1">
        <f>B116*$E$120</f>
        <v>1089.1859052247873</v>
      </c>
      <c r="C125" s="1">
        <f t="shared" si="18"/>
        <v>2820</v>
      </c>
      <c r="D125" s="1">
        <f>D116*$E$121</f>
        <v>1773.3616771734348</v>
      </c>
    </row>
    <row r="126" spans="1:5" x14ac:dyDescent="0.2">
      <c r="A126" s="1">
        <v>1747</v>
      </c>
      <c r="B126" s="1">
        <f>B117*$E$120</f>
        <v>717.37545565006076</v>
      </c>
      <c r="C126" s="1">
        <f t="shared" si="18"/>
        <v>1655</v>
      </c>
      <c r="D126" s="1">
        <f>D117*$E$121</f>
        <v>1773.3616771734348</v>
      </c>
    </row>
    <row r="127" spans="1:5" x14ac:dyDescent="0.2">
      <c r="A127" s="1">
        <v>1748</v>
      </c>
      <c r="B127" s="1">
        <f>B118*$E$120</f>
        <v>813.60874848116657</v>
      </c>
      <c r="C127" s="1">
        <f t="shared" si="18"/>
        <v>340</v>
      </c>
      <c r="D127" s="1">
        <f>D118*$E$121</f>
        <v>1002.8001759272832</v>
      </c>
    </row>
    <row r="128" spans="1:5" x14ac:dyDescent="0.2">
      <c r="B128" s="1">
        <f>SUM(B123:B127)</f>
        <v>4800.0000000000009</v>
      </c>
      <c r="C128" s="1">
        <f t="shared" ref="C128:D128" si="19">SUM(C123:C127)</f>
        <v>8602</v>
      </c>
      <c r="D128" s="1">
        <f t="shared" si="19"/>
        <v>7299.9999999999991</v>
      </c>
      <c r="E128" s="1">
        <f>SUM(B128:D128)</f>
        <v>20702</v>
      </c>
    </row>
    <row r="130" spans="1:5" x14ac:dyDescent="0.2">
      <c r="A130" s="1" t="s">
        <v>9</v>
      </c>
    </row>
    <row r="131" spans="1:5" x14ac:dyDescent="0.2">
      <c r="B131" s="1" t="s">
        <v>1</v>
      </c>
      <c r="C131" s="1" t="s">
        <v>2</v>
      </c>
      <c r="D131" s="1" t="s">
        <v>3</v>
      </c>
      <c r="E131" s="1" t="s">
        <v>6</v>
      </c>
    </row>
    <row r="132" spans="1:5" x14ac:dyDescent="0.2">
      <c r="B132" s="1">
        <v>130</v>
      </c>
      <c r="C132" s="1">
        <v>88</v>
      </c>
      <c r="D132" s="1">
        <v>103</v>
      </c>
      <c r="E132" s="1">
        <f>3+53+60+13+18+1+8+13+2+2+12+6+1+11+6+1+7+16+20</f>
        <v>253</v>
      </c>
    </row>
    <row r="133" spans="1:5" x14ac:dyDescent="0.2">
      <c r="A133" s="1" t="s">
        <v>7</v>
      </c>
      <c r="E133" s="1">
        <f>E132/(B132+C132+D132)*E128</f>
        <v>16316.529595015576</v>
      </c>
    </row>
    <row r="135" spans="1:5" x14ac:dyDescent="0.2">
      <c r="A135" s="1" t="s">
        <v>8</v>
      </c>
    </row>
    <row r="136" spans="1:5" x14ac:dyDescent="0.2">
      <c r="A136" s="1">
        <v>1744</v>
      </c>
      <c r="B136" s="1">
        <f>(B123+C123+D123)*($E$128+$E$133)/$E$128</f>
        <v>5575.554826863925</v>
      </c>
    </row>
    <row r="137" spans="1:5" x14ac:dyDescent="0.2">
      <c r="A137" s="1">
        <v>1745</v>
      </c>
      <c r="B137" s="1">
        <f>(B124+C124+D124)*($E$128+$E$133)/$E$128</f>
        <v>10012.401094794281</v>
      </c>
    </row>
    <row r="138" spans="1:5" x14ac:dyDescent="0.2">
      <c r="A138" s="1">
        <v>1746</v>
      </c>
      <c r="B138" s="1">
        <f>(B125+C125+D125)*($E$128+$E$133)/$E$128</f>
        <v>10161.315614631088</v>
      </c>
    </row>
    <row r="139" spans="1:5" x14ac:dyDescent="0.2">
      <c r="A139" s="1">
        <v>1747</v>
      </c>
      <c r="B139" s="1">
        <f>(B126+C126+D126)*($E$128+$E$133)/$E$128</f>
        <v>7413.2495770737905</v>
      </c>
    </row>
    <row r="140" spans="1:5" x14ac:dyDescent="0.2">
      <c r="A140" s="1">
        <v>1748</v>
      </c>
      <c r="B140" s="1">
        <f>(B127+C127+D127)*($E$128+$E$133)/$E$128</f>
        <v>3856.0084816524932</v>
      </c>
    </row>
    <row r="141" spans="1:5" x14ac:dyDescent="0.2">
      <c r="B141" s="1">
        <f>SUM(B136:B140)</f>
        <v>37018.529595015571</v>
      </c>
    </row>
    <row r="145" spans="1:14" x14ac:dyDescent="0.2">
      <c r="A145" s="1" t="s">
        <v>10</v>
      </c>
    </row>
    <row r="146" spans="1:14" x14ac:dyDescent="0.2">
      <c r="B146" s="1" t="s">
        <v>11</v>
      </c>
      <c r="C146" s="1" t="s">
        <v>59</v>
      </c>
      <c r="D146" s="1" t="s">
        <v>3</v>
      </c>
    </row>
    <row r="147" spans="1:14" x14ac:dyDescent="0.2">
      <c r="B147" s="1">
        <v>12000</v>
      </c>
      <c r="C147" s="1">
        <v>11000</v>
      </c>
      <c r="D147" s="1">
        <v>13500</v>
      </c>
    </row>
    <row r="149" spans="1:14" x14ac:dyDescent="0.2">
      <c r="A149" s="1" t="s">
        <v>12</v>
      </c>
      <c r="E149" s="2">
        <f>(B147+C147+D147)/(B128+C128+D128)</f>
        <v>1.7631146749106366</v>
      </c>
    </row>
    <row r="151" spans="1:14" x14ac:dyDescent="0.2">
      <c r="A151" s="1" t="s">
        <v>60</v>
      </c>
      <c r="B151" s="1" t="s">
        <v>61</v>
      </c>
      <c r="F151" s="1" t="s">
        <v>64</v>
      </c>
      <c r="J151" s="4">
        <v>1.5</v>
      </c>
    </row>
    <row r="152" spans="1:14" x14ac:dyDescent="0.2">
      <c r="B152" s="1" t="s">
        <v>62</v>
      </c>
      <c r="C152" s="1" t="s">
        <v>63</v>
      </c>
      <c r="D152" s="1" t="s">
        <v>65</v>
      </c>
      <c r="F152" s="1" t="s">
        <v>66</v>
      </c>
    </row>
    <row r="153" spans="1:14" s="3" customFormat="1" x14ac:dyDescent="0.2">
      <c r="A153" s="1">
        <v>1744</v>
      </c>
      <c r="B153" s="1">
        <v>31</v>
      </c>
      <c r="C153" s="1">
        <v>921</v>
      </c>
      <c r="D153" s="1">
        <f>C153/$J$151</f>
        <v>614</v>
      </c>
      <c r="E153" s="1">
        <f>D153</f>
        <v>614</v>
      </c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>
        <v>1745</v>
      </c>
      <c r="B154" s="1">
        <v>53</v>
      </c>
      <c r="C154" s="1">
        <v>1116</v>
      </c>
      <c r="D154" s="1">
        <f>C154/$J$151</f>
        <v>744</v>
      </c>
      <c r="E154" s="1">
        <f t="shared" ref="E154:E156" si="20">D154</f>
        <v>744</v>
      </c>
    </row>
    <row r="155" spans="1:14" x14ac:dyDescent="0.2">
      <c r="A155" s="1">
        <v>1746</v>
      </c>
      <c r="B155" s="1">
        <v>122</v>
      </c>
      <c r="C155" s="1">
        <v>4679</v>
      </c>
      <c r="D155" s="1">
        <f>C155/$J$151</f>
        <v>3119.3333333333335</v>
      </c>
      <c r="E155" s="1">
        <f t="shared" si="20"/>
        <v>3119.3333333333335</v>
      </c>
    </row>
    <row r="156" spans="1:14" x14ac:dyDescent="0.2">
      <c r="A156" s="1">
        <v>1747</v>
      </c>
      <c r="B156" s="1">
        <v>99</v>
      </c>
      <c r="C156" s="1">
        <v>4441</v>
      </c>
      <c r="D156" s="1">
        <f>C156/$J$151</f>
        <v>2960.6666666666665</v>
      </c>
      <c r="E156" s="1">
        <f t="shared" si="20"/>
        <v>2960.6666666666665</v>
      </c>
    </row>
    <row r="157" spans="1:14" x14ac:dyDescent="0.2">
      <c r="A157" s="1">
        <v>1748</v>
      </c>
      <c r="B157" s="3"/>
      <c r="E157" s="1">
        <f>10000-D158</f>
        <v>2562</v>
      </c>
    </row>
    <row r="158" spans="1:14" x14ac:dyDescent="0.2">
      <c r="B158" s="1">
        <f>SUM(B153:B157)</f>
        <v>305</v>
      </c>
      <c r="C158" s="1">
        <f>SUM(C153:C156)</f>
        <v>11157</v>
      </c>
      <c r="D158" s="1">
        <f>SUM(D153:D156)</f>
        <v>7438</v>
      </c>
      <c r="E158" s="1">
        <f>SUM(E153:E157)</f>
        <v>10000</v>
      </c>
    </row>
    <row r="162" spans="1:14" x14ac:dyDescent="0.2">
      <c r="A162" s="1" t="s">
        <v>8</v>
      </c>
    </row>
    <row r="163" spans="1:14" x14ac:dyDescent="0.2">
      <c r="A163" s="1">
        <v>1744</v>
      </c>
      <c r="B163" s="1">
        <f>B136*$E$149</f>
        <v>9830.3425360126203</v>
      </c>
    </row>
    <row r="164" spans="1:14" x14ac:dyDescent="0.2">
      <c r="A164" s="1">
        <v>1745</v>
      </c>
      <c r="B164" s="1">
        <f>B137*$E$149</f>
        <v>17653.01130132312</v>
      </c>
    </row>
    <row r="165" spans="1:14" x14ac:dyDescent="0.2">
      <c r="A165" s="1">
        <v>1746</v>
      </c>
      <c r="B165" s="1">
        <f>B138*$E$149</f>
        <v>17915.564676554666</v>
      </c>
    </row>
    <row r="166" spans="1:14" x14ac:dyDescent="0.2">
      <c r="A166" s="1">
        <v>1747</v>
      </c>
      <c r="B166" s="1">
        <f>B139*$E$149</f>
        <v>13070.40911811387</v>
      </c>
    </row>
    <row r="167" spans="1:14" x14ac:dyDescent="0.2">
      <c r="A167" s="1">
        <v>1748</v>
      </c>
      <c r="B167" s="1">
        <f>B140*$E$149</f>
        <v>6798.5851405813928</v>
      </c>
      <c r="L167" s="3"/>
      <c r="M167" s="3"/>
      <c r="N167" s="3"/>
    </row>
    <row r="168" spans="1:14" x14ac:dyDescent="0.2">
      <c r="B168" s="1">
        <f>SUM(B163:B167)</f>
        <v>65267.912772585674</v>
      </c>
    </row>
    <row r="178" spans="1:11" x14ac:dyDescent="0.2">
      <c r="A178" s="1" t="s">
        <v>43</v>
      </c>
    </row>
    <row r="179" spans="1: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1" spans="1:11" x14ac:dyDescent="0.2">
      <c r="A181" s="1" t="s">
        <v>13</v>
      </c>
    </row>
    <row r="182" spans="1:11" x14ac:dyDescent="0.2">
      <c r="B182" s="1" t="s">
        <v>1</v>
      </c>
      <c r="C182" s="1" t="s">
        <v>2</v>
      </c>
      <c r="D182" s="1" t="s">
        <v>3</v>
      </c>
      <c r="E182" s="1" t="s">
        <v>16</v>
      </c>
    </row>
    <row r="183" spans="1:11" x14ac:dyDescent="0.2">
      <c r="A183" s="1">
        <v>1756</v>
      </c>
      <c r="B183" s="1">
        <v>980</v>
      </c>
      <c r="C183" s="1">
        <v>755</v>
      </c>
      <c r="D183" s="1">
        <v>430</v>
      </c>
      <c r="E183" s="1">
        <f>SUM(B183:D183)</f>
        <v>2165</v>
      </c>
    </row>
    <row r="184" spans="1:11" x14ac:dyDescent="0.2">
      <c r="A184" s="1">
        <v>1757</v>
      </c>
      <c r="B184" s="1">
        <v>2050</v>
      </c>
      <c r="C184" s="1">
        <v>2517</v>
      </c>
      <c r="D184" s="1">
        <v>2240</v>
      </c>
      <c r="E184" s="1">
        <f t="shared" ref="E184:E190" si="21">SUM(B184:D184)</f>
        <v>6807</v>
      </c>
    </row>
    <row r="185" spans="1:11" x14ac:dyDescent="0.2">
      <c r="A185" s="1">
        <v>1758</v>
      </c>
      <c r="B185" s="1">
        <v>2204</v>
      </c>
      <c r="C185" s="1">
        <v>410</v>
      </c>
      <c r="D185" s="1">
        <v>1035</v>
      </c>
      <c r="E185" s="1">
        <f t="shared" si="21"/>
        <v>3649</v>
      </c>
    </row>
    <row r="186" spans="1:11" x14ac:dyDescent="0.2">
      <c r="A186" s="1">
        <v>1759</v>
      </c>
      <c r="B186" s="1">
        <v>1056</v>
      </c>
      <c r="C186" s="1">
        <v>130</v>
      </c>
      <c r="D186" s="1">
        <v>645</v>
      </c>
      <c r="E186" s="1">
        <f t="shared" si="21"/>
        <v>1831</v>
      </c>
    </row>
    <row r="187" spans="1:11" x14ac:dyDescent="0.2">
      <c r="A187" s="1">
        <v>1760</v>
      </c>
      <c r="B187" s="1">
        <v>662</v>
      </c>
      <c r="C187" s="1">
        <v>985</v>
      </c>
      <c r="D187" s="1">
        <v>555</v>
      </c>
      <c r="E187" s="1">
        <f t="shared" si="21"/>
        <v>2202</v>
      </c>
    </row>
    <row r="188" spans="1:11" x14ac:dyDescent="0.2">
      <c r="A188" s="1">
        <v>1761</v>
      </c>
      <c r="B188" s="1">
        <v>490</v>
      </c>
      <c r="C188" s="1">
        <v>592.5</v>
      </c>
      <c r="D188" s="1">
        <v>897.5</v>
      </c>
      <c r="E188" s="1">
        <f t="shared" si="21"/>
        <v>1980</v>
      </c>
    </row>
    <row r="189" spans="1:11" x14ac:dyDescent="0.2">
      <c r="A189" s="1">
        <v>1762</v>
      </c>
      <c r="B189" s="1">
        <v>836</v>
      </c>
      <c r="C189" s="1">
        <v>792.5</v>
      </c>
      <c r="D189" s="1">
        <v>600</v>
      </c>
      <c r="E189" s="1">
        <f t="shared" si="21"/>
        <v>2228.5</v>
      </c>
    </row>
    <row r="190" spans="1:11" x14ac:dyDescent="0.2">
      <c r="B190" s="1">
        <f>SUM(B183:B189)</f>
        <v>8278</v>
      </c>
      <c r="C190" s="1">
        <f t="shared" ref="C190:D190" si="22">SUM(C183:C189)</f>
        <v>6182</v>
      </c>
      <c r="D190" s="1">
        <f t="shared" si="22"/>
        <v>6402.5</v>
      </c>
      <c r="E190" s="1">
        <f t="shared" si="21"/>
        <v>20862.5</v>
      </c>
    </row>
    <row r="192" spans="1:11" x14ac:dyDescent="0.2">
      <c r="A192" s="1" t="s">
        <v>14</v>
      </c>
    </row>
    <row r="193" spans="1:12" x14ac:dyDescent="0.2">
      <c r="B193" s="1" t="s">
        <v>1</v>
      </c>
      <c r="C193" s="1" t="s">
        <v>2</v>
      </c>
      <c r="D193" s="1" t="s">
        <v>3</v>
      </c>
      <c r="E193" s="1" t="s">
        <v>15</v>
      </c>
      <c r="F193" s="1" t="s">
        <v>67</v>
      </c>
      <c r="G193" s="1" t="s">
        <v>17</v>
      </c>
    </row>
    <row r="194" spans="1:12" x14ac:dyDescent="0.2">
      <c r="B194" s="1">
        <v>145</v>
      </c>
      <c r="C194" s="1">
        <v>69</v>
      </c>
      <c r="D194" s="1">
        <v>128</v>
      </c>
      <c r="E194" s="1">
        <f>54+32+21+35+50</f>
        <v>192</v>
      </c>
      <c r="F194" s="1">
        <f>SUM(B194:E194)</f>
        <v>534</v>
      </c>
      <c r="G194" s="2">
        <f>SUM(B194:E194)/SUM(B194:D194)</f>
        <v>1.5614035087719298</v>
      </c>
    </row>
    <row r="195" spans="1:12" x14ac:dyDescent="0.2">
      <c r="L195" s="1" t="s">
        <v>25</v>
      </c>
    </row>
    <row r="196" spans="1:12" x14ac:dyDescent="0.2">
      <c r="A196" s="1" t="s">
        <v>8</v>
      </c>
      <c r="L196" s="1">
        <v>0</v>
      </c>
    </row>
    <row r="197" spans="1:12" x14ac:dyDescent="0.2">
      <c r="A197" s="1">
        <v>1756</v>
      </c>
      <c r="B197" s="1">
        <f>(B183+C183+D183)*$G$194</f>
        <v>3380.4385964912281</v>
      </c>
      <c r="L197" s="1">
        <v>3</v>
      </c>
    </row>
    <row r="198" spans="1:12" x14ac:dyDescent="0.2">
      <c r="A198" s="1">
        <v>1757</v>
      </c>
      <c r="B198" s="1">
        <f>(B184+C184+D184)*$G$194</f>
        <v>10628.473684210527</v>
      </c>
      <c r="L198" s="1">
        <v>1</v>
      </c>
    </row>
    <row r="199" spans="1:12" x14ac:dyDescent="0.2">
      <c r="A199" s="1">
        <v>1758</v>
      </c>
      <c r="B199" s="1">
        <f>(B185+C185+D185)*$G$194</f>
        <v>5697.5614035087719</v>
      </c>
      <c r="L199" s="1">
        <v>0</v>
      </c>
    </row>
    <row r="200" spans="1:12" x14ac:dyDescent="0.2">
      <c r="A200" s="1">
        <v>1759</v>
      </c>
      <c r="B200" s="1">
        <f>(B186+C186+D186)*$G$194</f>
        <v>2858.9298245614036</v>
      </c>
      <c r="L200" s="1">
        <v>18</v>
      </c>
    </row>
    <row r="201" spans="1:12" x14ac:dyDescent="0.2">
      <c r="A201" s="1">
        <v>1760</v>
      </c>
      <c r="B201" s="1">
        <f>(B187+C187+D187)*$G$194</f>
        <v>3438.2105263157896</v>
      </c>
      <c r="L201" s="1">
        <v>42</v>
      </c>
    </row>
    <row r="202" spans="1:12" x14ac:dyDescent="0.2">
      <c r="A202" s="1">
        <v>1761</v>
      </c>
      <c r="B202" s="1">
        <f>(B188+C188+D188)*$G$194</f>
        <v>3091.5789473684208</v>
      </c>
      <c r="L202" s="1">
        <v>1</v>
      </c>
    </row>
    <row r="203" spans="1:12" x14ac:dyDescent="0.2">
      <c r="A203" s="1">
        <v>1762</v>
      </c>
      <c r="B203" s="1">
        <f>(B189+C189+D189)*$G$194</f>
        <v>3479.5877192982457</v>
      </c>
    </row>
    <row r="204" spans="1:12" x14ac:dyDescent="0.2">
      <c r="B204" s="1">
        <f>SUM(B197:B203)</f>
        <v>32574.780701754386</v>
      </c>
    </row>
    <row r="206" spans="1:12" x14ac:dyDescent="0.2">
      <c r="A206" s="1" t="s">
        <v>18</v>
      </c>
    </row>
    <row r="207" spans="1:12" x14ac:dyDescent="0.2">
      <c r="B207" s="1" t="s">
        <v>19</v>
      </c>
      <c r="C207" s="1" t="s">
        <v>23</v>
      </c>
      <c r="D207" s="1" t="s">
        <v>20</v>
      </c>
      <c r="E207" s="1" t="s">
        <v>16</v>
      </c>
      <c r="F207" s="1" t="s">
        <v>21</v>
      </c>
      <c r="G207" s="1" t="s">
        <v>22</v>
      </c>
      <c r="K207" s="1" t="s">
        <v>24</v>
      </c>
    </row>
    <row r="208" spans="1:12" x14ac:dyDescent="0.2">
      <c r="A208" s="1">
        <v>1756</v>
      </c>
      <c r="B208" s="1">
        <v>1182.06</v>
      </c>
      <c r="C208" s="1">
        <f>(K208*F$215+L196*G$215)*$C$220</f>
        <v>1530.65412679474</v>
      </c>
      <c r="D208" s="1">
        <v>2217.3119999999999</v>
      </c>
      <c r="E208" s="1">
        <f>SUM(B208:D208)</f>
        <v>4930.0261267947399</v>
      </c>
      <c r="F208" s="1">
        <f>1841.163/44</f>
        <v>41.84461363636364</v>
      </c>
      <c r="G208" s="1">
        <f>46.9/9</f>
        <v>5.2111111111111112</v>
      </c>
      <c r="K208" s="1">
        <v>47</v>
      </c>
    </row>
    <row r="209" spans="1:14" s="3" customFormat="1" x14ac:dyDescent="0.2">
      <c r="A209" s="1">
        <v>1757</v>
      </c>
      <c r="B209" s="1">
        <v>1568.0419999999999</v>
      </c>
      <c r="C209" s="1">
        <f>(K209*F$215+L197*G$215)*$C$220</f>
        <v>2490.7132768923552</v>
      </c>
      <c r="D209" s="1">
        <v>2662.0610000000001</v>
      </c>
      <c r="E209" s="1">
        <f t="shared" ref="E209:E215" si="23">SUM(B209:D209)</f>
        <v>6720.8162768923557</v>
      </c>
      <c r="F209" s="1">
        <f>1388.369/50</f>
        <v>27.767379999999999</v>
      </c>
      <c r="G209" s="1">
        <f>179.673/31</f>
        <v>5.7959032258064518</v>
      </c>
      <c r="H209" s="1"/>
      <c r="I209" s="1"/>
      <c r="J209" s="1"/>
      <c r="K209" s="1">
        <v>76</v>
      </c>
      <c r="L209" s="1"/>
      <c r="M209" s="1"/>
      <c r="N209" s="1"/>
    </row>
    <row r="210" spans="1:14" x14ac:dyDescent="0.2">
      <c r="A210" s="1">
        <v>1758</v>
      </c>
      <c r="B210" s="1">
        <v>2450.9899999999998</v>
      </c>
      <c r="C210" s="1">
        <f>(K210*F$215+L198*G$215)*$C$220</f>
        <v>428.5767469683355</v>
      </c>
      <c r="D210" s="1">
        <v>865.28800000000001</v>
      </c>
      <c r="E210" s="1">
        <f t="shared" si="23"/>
        <v>3744.8547469683353</v>
      </c>
      <c r="F210" s="1">
        <f>1906.108/74</f>
        <v>25.758216216216216</v>
      </c>
      <c r="G210" s="1">
        <f>544.889/81</f>
        <v>6.7270246913580252</v>
      </c>
      <c r="K210" s="1">
        <v>13</v>
      </c>
    </row>
    <row r="211" spans="1:14" x14ac:dyDescent="0.2">
      <c r="A211" s="1">
        <v>1759</v>
      </c>
      <c r="B211" s="1">
        <v>2626.9</v>
      </c>
      <c r="C211" s="1">
        <f>(K211*F$215+L199*G$215)*$C$220</f>
        <v>0</v>
      </c>
      <c r="D211" s="1">
        <v>1733.711</v>
      </c>
      <c r="E211" s="1">
        <f t="shared" si="23"/>
        <v>4360.6109999999999</v>
      </c>
      <c r="F211" s="1">
        <f>1807.506/47</f>
        <v>38.457574468085106</v>
      </c>
      <c r="G211" s="1">
        <f>819.399/102</f>
        <v>8.0333235294117653</v>
      </c>
      <c r="K211" s="1">
        <v>0</v>
      </c>
    </row>
    <row r="212" spans="1:14" x14ac:dyDescent="0.2">
      <c r="A212" s="1">
        <v>1760</v>
      </c>
      <c r="B212" s="1">
        <v>4335.57</v>
      </c>
      <c r="C212" s="1">
        <f>(K212*F$215+L200*G$215)*$C$220</f>
        <v>1852.3018108969927</v>
      </c>
      <c r="D212" s="1">
        <v>2619.2510000000002</v>
      </c>
      <c r="E212" s="1">
        <f t="shared" si="23"/>
        <v>8807.1228108969917</v>
      </c>
      <c r="F212" s="1">
        <f>3840.059/33</f>
        <v>116.36542424242425</v>
      </c>
      <c r="G212" s="1">
        <f>495.514/50</f>
        <v>9.9102800000000002</v>
      </c>
      <c r="K212" s="1">
        <v>54</v>
      </c>
    </row>
    <row r="213" spans="1:14" x14ac:dyDescent="0.2">
      <c r="A213" s="1">
        <v>1761</v>
      </c>
      <c r="B213" s="1">
        <v>584.55600000000004</v>
      </c>
      <c r="C213" s="1">
        <f>(K213*F$215+L201*G$215)*$C$220</f>
        <v>641.95423263612508</v>
      </c>
      <c r="D213" s="1">
        <v>3057.33</v>
      </c>
      <c r="E213" s="1">
        <f t="shared" si="23"/>
        <v>4283.8402326361247</v>
      </c>
      <c r="F213" s="1">
        <f>542.314/21</f>
        <v>25.82447619047619</v>
      </c>
      <c r="G213" s="1">
        <f>42.242/9</f>
        <v>4.6935555555555553</v>
      </c>
      <c r="K213" s="1">
        <v>13</v>
      </c>
    </row>
    <row r="214" spans="1:14" x14ac:dyDescent="0.2">
      <c r="A214" s="1">
        <v>1762</v>
      </c>
      <c r="B214" s="1">
        <v>352.976</v>
      </c>
      <c r="C214" s="1">
        <f>(K214*F$215+L202*G$215)*$C$220</f>
        <v>493.71096512981376</v>
      </c>
      <c r="D214" s="1">
        <v>1925.9179999999999</v>
      </c>
      <c r="E214" s="1">
        <f t="shared" si="23"/>
        <v>2772.6049651298135</v>
      </c>
      <c r="F214" s="1">
        <f>139.71/5</f>
        <v>27.942</v>
      </c>
      <c r="G214" s="1">
        <f>213.266/26</f>
        <v>8.2025384615384613</v>
      </c>
      <c r="K214" s="1">
        <v>15</v>
      </c>
    </row>
    <row r="215" spans="1:14" x14ac:dyDescent="0.2">
      <c r="B215" s="1">
        <f>SUM(B208:B214)</f>
        <v>13101.094000000001</v>
      </c>
      <c r="C215" s="1">
        <f t="shared" ref="C215:D215" si="24">SUM(C208:C214)</f>
        <v>7437.9111593183625</v>
      </c>
      <c r="D215" s="1">
        <f t="shared" si="24"/>
        <v>15080.870999999999</v>
      </c>
      <c r="E215" s="1">
        <f t="shared" si="23"/>
        <v>35619.876159318359</v>
      </c>
      <c r="F215" s="1">
        <f>AVERAGE(F208:F214)</f>
        <v>43.422812107652199</v>
      </c>
      <c r="G215" s="1">
        <f>AVERAGE(G208:G214)</f>
        <v>6.9391052249687677</v>
      </c>
    </row>
    <row r="216" spans="1:14" x14ac:dyDescent="0.2">
      <c r="B216" s="2">
        <f>B215/B190</f>
        <v>1.5826400096641702</v>
      </c>
      <c r="C216" s="2">
        <f t="shared" ref="C216:D216" si="25">C215/C190</f>
        <v>1.2031561241213786</v>
      </c>
      <c r="D216" s="2">
        <f t="shared" si="25"/>
        <v>2.3554659898477155</v>
      </c>
    </row>
    <row r="217" spans="1:14" x14ac:dyDescent="0.2">
      <c r="C217" s="1" t="s">
        <v>26</v>
      </c>
    </row>
    <row r="218" spans="1:14" x14ac:dyDescent="0.2">
      <c r="C218" s="1" t="s">
        <v>27</v>
      </c>
    </row>
    <row r="219" spans="1:14" x14ac:dyDescent="0.2">
      <c r="C219" s="1" t="s">
        <v>28</v>
      </c>
    </row>
    <row r="220" spans="1:14" x14ac:dyDescent="0.2">
      <c r="C220" s="2">
        <v>0.75</v>
      </c>
    </row>
    <row r="222" spans="1:14" x14ac:dyDescent="0.2">
      <c r="A222" s="1" t="s">
        <v>8</v>
      </c>
      <c r="C222" s="1" t="s">
        <v>29</v>
      </c>
      <c r="D222" s="1" t="s">
        <v>42</v>
      </c>
    </row>
    <row r="223" spans="1:14" x14ac:dyDescent="0.2">
      <c r="A223" s="1">
        <v>1756</v>
      </c>
      <c r="B223" s="1">
        <f t="shared" ref="B223:B229" si="26">B197*E208/E183</f>
        <v>7697.7600927145941</v>
      </c>
      <c r="C223" s="2">
        <f t="shared" ref="C223:C230" si="27">B223/B197</f>
        <v>2.2771483264640833</v>
      </c>
      <c r="D223" s="1">
        <f>$A$233*B223/$B$230</f>
        <v>1245.659444257926</v>
      </c>
      <c r="L223" s="3"/>
      <c r="M223" s="3"/>
      <c r="N223" s="3"/>
    </row>
    <row r="224" spans="1:14" x14ac:dyDescent="0.2">
      <c r="A224" s="1">
        <v>1757</v>
      </c>
      <c r="B224" s="1">
        <f t="shared" si="26"/>
        <v>10493.906116551223</v>
      </c>
      <c r="C224" s="2">
        <f>B224/B198</f>
        <v>0.98733895649953818</v>
      </c>
      <c r="D224" s="1">
        <f t="shared" ref="D224:D229" si="28">$A$233*B224/$B$230</f>
        <v>1698.1346656424962</v>
      </c>
    </row>
    <row r="225" spans="1:11" x14ac:dyDescent="0.2">
      <c r="A225" s="1">
        <v>1758</v>
      </c>
      <c r="B225" s="1">
        <f t="shared" si="26"/>
        <v>5847.2293417575765</v>
      </c>
      <c r="C225" s="2">
        <f t="shared" si="27"/>
        <v>1.0262687714355536</v>
      </c>
      <c r="D225" s="1">
        <f t="shared" si="28"/>
        <v>946.20465753354233</v>
      </c>
    </row>
    <row r="226" spans="1:11" x14ac:dyDescent="0.2">
      <c r="A226" s="1">
        <v>1759</v>
      </c>
      <c r="B226" s="1">
        <f t="shared" si="26"/>
        <v>6808.6733157894741</v>
      </c>
      <c r="C226" s="2">
        <f t="shared" si="27"/>
        <v>2.3815461496450028</v>
      </c>
      <c r="D226" s="1">
        <f t="shared" si="28"/>
        <v>1101.7865088712038</v>
      </c>
    </row>
    <row r="227" spans="1:11" x14ac:dyDescent="0.2">
      <c r="A227" s="1">
        <v>1760</v>
      </c>
      <c r="B227" s="1">
        <f t="shared" si="26"/>
        <v>13751.472459119865</v>
      </c>
      <c r="C227" s="2">
        <f t="shared" si="27"/>
        <v>3.9996016398260634</v>
      </c>
      <c r="D227" s="1">
        <f t="shared" si="28"/>
        <v>2225.2773969102354</v>
      </c>
    </row>
    <row r="228" spans="1:11" x14ac:dyDescent="0.2">
      <c r="A228" s="1">
        <v>1761</v>
      </c>
      <c r="B228" s="1">
        <f t="shared" si="26"/>
        <v>6688.8031702564049</v>
      </c>
      <c r="C228" s="2">
        <f t="shared" si="27"/>
        <v>2.1635556730485477</v>
      </c>
      <c r="D228" s="1">
        <f t="shared" si="28"/>
        <v>1082.3889988073142</v>
      </c>
    </row>
    <row r="229" spans="1:11" x14ac:dyDescent="0.2">
      <c r="A229" s="1">
        <v>1762</v>
      </c>
      <c r="B229" s="1">
        <f t="shared" si="26"/>
        <v>4329.1551209921654</v>
      </c>
      <c r="C229" s="2">
        <f t="shared" si="27"/>
        <v>1.2441574894008587</v>
      </c>
      <c r="D229" s="1">
        <f t="shared" si="28"/>
        <v>700.54832797728193</v>
      </c>
    </row>
    <row r="230" spans="1:11" x14ac:dyDescent="0.2">
      <c r="B230" s="1">
        <f>SUM(B223:B229)</f>
        <v>55616.999617181304</v>
      </c>
      <c r="C230" s="2">
        <f t="shared" si="27"/>
        <v>1.7073637464023181</v>
      </c>
      <c r="D230" s="1">
        <f>SUM(D223:D229)</f>
        <v>9000</v>
      </c>
    </row>
    <row r="231" spans="1:11" x14ac:dyDescent="0.2">
      <c r="C231" s="2"/>
    </row>
    <row r="232" spans="1:11" x14ac:dyDescent="0.2">
      <c r="A232" s="1" t="s">
        <v>41</v>
      </c>
      <c r="C232" s="2"/>
    </row>
    <row r="233" spans="1:11" x14ac:dyDescent="0.2">
      <c r="A233" s="1">
        <v>9000</v>
      </c>
      <c r="C233" s="2"/>
    </row>
    <row r="235" spans="1:1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">
      <c r="A236" s="1" t="s">
        <v>30</v>
      </c>
    </row>
    <row r="237" spans="1:11" x14ac:dyDescent="0.2">
      <c r="A237" s="1">
        <v>40000</v>
      </c>
    </row>
    <row r="238" spans="1:11" x14ac:dyDescent="0.2">
      <c r="A238" s="1" t="s">
        <v>31</v>
      </c>
    </row>
    <row r="239" spans="1:11" x14ac:dyDescent="0.2">
      <c r="A239" s="1">
        <v>35000</v>
      </c>
    </row>
    <row r="241" spans="1:4" x14ac:dyDescent="0.2">
      <c r="A241" s="1" t="s">
        <v>32</v>
      </c>
    </row>
    <row r="242" spans="1:4" x14ac:dyDescent="0.2">
      <c r="B242" s="1" t="s">
        <v>1</v>
      </c>
      <c r="C242" s="1" t="s">
        <v>33</v>
      </c>
      <c r="D242" s="1" t="s">
        <v>2</v>
      </c>
    </row>
    <row r="243" spans="1:4" x14ac:dyDescent="0.2">
      <c r="B243" s="1">
        <v>19000</v>
      </c>
      <c r="C243" s="1">
        <v>1000</v>
      </c>
      <c r="D243" s="1">
        <v>3000</v>
      </c>
    </row>
    <row r="244" spans="1:4" x14ac:dyDescent="0.2">
      <c r="A244" s="1" t="s">
        <v>34</v>
      </c>
    </row>
    <row r="245" spans="1:4" x14ac:dyDescent="0.2">
      <c r="B245" s="1" t="s">
        <v>1</v>
      </c>
      <c r="C245" s="1" t="s">
        <v>33</v>
      </c>
      <c r="D245" s="1" t="s">
        <v>2</v>
      </c>
    </row>
    <row r="246" spans="1:4" x14ac:dyDescent="0.2">
      <c r="B246" s="1">
        <f>18000+7576</f>
        <v>25576</v>
      </c>
      <c r="C246" s="1">
        <v>2032.0550000000001</v>
      </c>
      <c r="D246" s="1">
        <v>5362.8789999999999</v>
      </c>
    </row>
    <row r="247" spans="1:4" x14ac:dyDescent="0.2">
      <c r="A247" s="1" t="s">
        <v>35</v>
      </c>
    </row>
    <row r="248" spans="1:4" x14ac:dyDescent="0.2">
      <c r="B248" s="1">
        <f>A237*(B243+C243+D243)/(B246+C246+D246)</f>
        <v>27903.36482430252</v>
      </c>
      <c r="C248" s="2">
        <f>A237/B248</f>
        <v>1.4335188695652175</v>
      </c>
    </row>
    <row r="250" spans="1:4" x14ac:dyDescent="0.2">
      <c r="A250" s="1" t="s">
        <v>36</v>
      </c>
    </row>
    <row r="251" spans="1:4" x14ac:dyDescent="0.2">
      <c r="A251" s="1">
        <v>1778</v>
      </c>
      <c r="B251" s="1">
        <v>20</v>
      </c>
    </row>
    <row r="252" spans="1:4" x14ac:dyDescent="0.2">
      <c r="A252" s="1">
        <v>1779</v>
      </c>
      <c r="B252" s="1">
        <v>29</v>
      </c>
    </row>
    <row r="253" spans="1:4" x14ac:dyDescent="0.2">
      <c r="A253" s="1">
        <v>1780</v>
      </c>
      <c r="B253" s="1">
        <v>46</v>
      </c>
    </row>
    <row r="254" spans="1:4" x14ac:dyDescent="0.2">
      <c r="A254" s="1">
        <v>1781</v>
      </c>
      <c r="B254" s="1">
        <v>47</v>
      </c>
    </row>
    <row r="255" spans="1:4" x14ac:dyDescent="0.2">
      <c r="A255" s="1">
        <v>1782</v>
      </c>
      <c r="B255" s="1">
        <v>53</v>
      </c>
    </row>
    <row r="256" spans="1:4" x14ac:dyDescent="0.2">
      <c r="A256" s="1">
        <v>1783</v>
      </c>
      <c r="B256" s="1">
        <v>3</v>
      </c>
    </row>
    <row r="257" spans="1:14" x14ac:dyDescent="0.2">
      <c r="B257" s="1">
        <f>SUM(B251:B256)</f>
        <v>198</v>
      </c>
    </row>
    <row r="258" spans="1:14" x14ac:dyDescent="0.2">
      <c r="A258" s="1" t="s">
        <v>37</v>
      </c>
    </row>
    <row r="259" spans="1:14" x14ac:dyDescent="0.2">
      <c r="A259" s="1">
        <v>1778</v>
      </c>
      <c r="B259" s="1">
        <f>B251/$B$257*$A$237</f>
        <v>4040.4040404040402</v>
      </c>
    </row>
    <row r="260" spans="1:14" x14ac:dyDescent="0.2">
      <c r="A260" s="1">
        <v>1779</v>
      </c>
      <c r="B260" s="1">
        <f t="shared" ref="B260:B264" si="29">B252/$B$257*$A$237</f>
        <v>5858.5858585858587</v>
      </c>
    </row>
    <row r="261" spans="1:14" x14ac:dyDescent="0.2">
      <c r="A261" s="1">
        <v>1780</v>
      </c>
      <c r="B261" s="1">
        <f t="shared" si="29"/>
        <v>9292.9292929292933</v>
      </c>
    </row>
    <row r="262" spans="1:14" x14ac:dyDescent="0.2">
      <c r="A262" s="1">
        <v>1781</v>
      </c>
      <c r="B262" s="1">
        <f t="shared" si="29"/>
        <v>9494.9494949494947</v>
      </c>
    </row>
    <row r="263" spans="1:14" x14ac:dyDescent="0.2">
      <c r="A263" s="1">
        <v>1782</v>
      </c>
      <c r="B263" s="1">
        <f t="shared" si="29"/>
        <v>10707.070707070707</v>
      </c>
    </row>
    <row r="264" spans="1:14" x14ac:dyDescent="0.2">
      <c r="A264" s="1">
        <v>1783</v>
      </c>
      <c r="B264" s="1">
        <f t="shared" si="29"/>
        <v>606.06060606060612</v>
      </c>
    </row>
    <row r="265" spans="1:14" x14ac:dyDescent="0.2">
      <c r="B265" s="1">
        <f>SUM(B259:B264)</f>
        <v>40000</v>
      </c>
    </row>
    <row r="266" spans="1:14" x14ac:dyDescent="0.2">
      <c r="A266" s="1" t="s">
        <v>38</v>
      </c>
    </row>
    <row r="267" spans="1:14" x14ac:dyDescent="0.2">
      <c r="A267" s="1">
        <v>1778</v>
      </c>
      <c r="B267" s="1">
        <f>B251/$B$257*$B$248</f>
        <v>2818.521699424497</v>
      </c>
    </row>
    <row r="268" spans="1:14" x14ac:dyDescent="0.2">
      <c r="A268" s="1">
        <v>1779</v>
      </c>
      <c r="B268" s="1">
        <f t="shared" ref="B268:B272" si="30">B252/$B$257*$B$248</f>
        <v>4086.8564641655207</v>
      </c>
    </row>
    <row r="269" spans="1:14" s="3" customFormat="1" x14ac:dyDescent="0.2">
      <c r="A269" s="1">
        <v>1780</v>
      </c>
      <c r="B269" s="1">
        <f t="shared" si="30"/>
        <v>6482.5999086763431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>
        <v>1781</v>
      </c>
      <c r="B270" s="1">
        <f t="shared" si="30"/>
        <v>6623.5259936475677</v>
      </c>
    </row>
    <row r="271" spans="1:14" x14ac:dyDescent="0.2">
      <c r="A271" s="1">
        <v>1782</v>
      </c>
      <c r="B271" s="1">
        <f t="shared" si="30"/>
        <v>7469.0825034749168</v>
      </c>
    </row>
    <row r="272" spans="1:14" x14ac:dyDescent="0.2">
      <c r="A272" s="1">
        <v>1783</v>
      </c>
      <c r="B272" s="1">
        <f t="shared" si="30"/>
        <v>422.77825491367457</v>
      </c>
    </row>
    <row r="274" spans="1:14" x14ac:dyDescent="0.2">
      <c r="A274" s="1" t="s">
        <v>39</v>
      </c>
    </row>
    <row r="276" spans="1:14" x14ac:dyDescent="0.2">
      <c r="A276" s="1">
        <v>1778</v>
      </c>
      <c r="B276" s="1">
        <f>215</f>
        <v>215</v>
      </c>
    </row>
    <row r="277" spans="1:14" x14ac:dyDescent="0.2">
      <c r="A277" s="1">
        <v>1779</v>
      </c>
      <c r="B277" s="1">
        <v>94</v>
      </c>
    </row>
    <row r="278" spans="1:14" x14ac:dyDescent="0.2">
      <c r="A278" s="1">
        <v>1780</v>
      </c>
      <c r="B278" s="1">
        <v>114</v>
      </c>
    </row>
    <row r="279" spans="1:14" x14ac:dyDescent="0.2">
      <c r="A279" s="1">
        <v>1781</v>
      </c>
      <c r="B279" s="1">
        <v>195</v>
      </c>
    </row>
    <row r="280" spans="1:14" x14ac:dyDescent="0.2">
      <c r="A280" s="1">
        <v>1782</v>
      </c>
      <c r="B280" s="1">
        <v>69</v>
      </c>
    </row>
    <row r="281" spans="1:14" x14ac:dyDescent="0.2">
      <c r="A281" s="1">
        <v>1783</v>
      </c>
      <c r="B281" s="1">
        <v>4</v>
      </c>
    </row>
    <row r="282" spans="1:14" x14ac:dyDescent="0.2">
      <c r="B282" s="1">
        <f>SUM(B276:B281)</f>
        <v>691</v>
      </c>
    </row>
    <row r="283" spans="1:14" x14ac:dyDescent="0.2">
      <c r="L283" s="3"/>
      <c r="M283" s="3"/>
      <c r="N283" s="3"/>
    </row>
    <row r="284" spans="1:14" x14ac:dyDescent="0.2">
      <c r="A284" s="1" t="s">
        <v>40</v>
      </c>
    </row>
    <row r="285" spans="1:14" x14ac:dyDescent="0.2">
      <c r="A285" s="1">
        <v>1778</v>
      </c>
      <c r="B285" s="1">
        <f>$A$239/$B$282*B276</f>
        <v>10890.014471780029</v>
      </c>
    </row>
    <row r="286" spans="1:14" x14ac:dyDescent="0.2">
      <c r="A286" s="1">
        <v>1779</v>
      </c>
      <c r="B286" s="1">
        <f t="shared" ref="B286:B290" si="31">$A$239/$B$282*B277</f>
        <v>4761.2156295224313</v>
      </c>
    </row>
    <row r="287" spans="1:14" x14ac:dyDescent="0.2">
      <c r="A287" s="1">
        <v>1780</v>
      </c>
      <c r="B287" s="1">
        <f t="shared" si="31"/>
        <v>5774.2402315484806</v>
      </c>
    </row>
    <row r="288" spans="1:14" x14ac:dyDescent="0.2">
      <c r="A288" s="1">
        <v>1781</v>
      </c>
      <c r="B288" s="1">
        <f t="shared" si="31"/>
        <v>9876.9898697539793</v>
      </c>
    </row>
    <row r="289" spans="1:11" x14ac:dyDescent="0.2">
      <c r="A289" s="1">
        <v>1782</v>
      </c>
      <c r="B289" s="1">
        <f t="shared" si="31"/>
        <v>3494.9348769898697</v>
      </c>
    </row>
    <row r="290" spans="1:11" x14ac:dyDescent="0.2">
      <c r="A290" s="1">
        <v>1783</v>
      </c>
      <c r="B290" s="1">
        <f t="shared" si="31"/>
        <v>202.60492040520984</v>
      </c>
      <c r="D290" s="1" t="s">
        <v>56</v>
      </c>
    </row>
    <row r="291" spans="1:11" x14ac:dyDescent="0.2">
      <c r="B291" s="1">
        <f>SUM(B285:B290)</f>
        <v>35000</v>
      </c>
      <c r="D291" s="2">
        <f>B265/(B265+B291)</f>
        <v>0.53333333333333333</v>
      </c>
    </row>
    <row r="295" spans="1:1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">
      <c r="A296" s="1" t="s">
        <v>44</v>
      </c>
    </row>
    <row r="297" spans="1:11" x14ac:dyDescent="0.2">
      <c r="A297" s="1" t="s">
        <v>45</v>
      </c>
    </row>
    <row r="298" spans="1:11" x14ac:dyDescent="0.2">
      <c r="A298" s="1">
        <v>1793</v>
      </c>
      <c r="B298" s="1">
        <v>352</v>
      </c>
    </row>
    <row r="299" spans="1:11" x14ac:dyDescent="0.2">
      <c r="A299" s="1">
        <v>1794</v>
      </c>
      <c r="B299" s="1">
        <v>644</v>
      </c>
    </row>
    <row r="300" spans="1:11" x14ac:dyDescent="0.2">
      <c r="A300" s="1">
        <v>1795</v>
      </c>
      <c r="B300" s="1">
        <v>640</v>
      </c>
    </row>
    <row r="301" spans="1:11" x14ac:dyDescent="0.2">
      <c r="A301" s="1">
        <v>1796</v>
      </c>
      <c r="B301" s="1">
        <v>489</v>
      </c>
    </row>
    <row r="302" spans="1:11" x14ac:dyDescent="0.2">
      <c r="A302" s="1">
        <v>1797</v>
      </c>
      <c r="B302" s="1">
        <v>949</v>
      </c>
    </row>
    <row r="303" spans="1:11" x14ac:dyDescent="0.2">
      <c r="A303" s="1">
        <v>1798</v>
      </c>
      <c r="B303" s="1">
        <v>688</v>
      </c>
    </row>
    <row r="304" spans="1:11" x14ac:dyDescent="0.2">
      <c r="A304" s="1">
        <v>1799</v>
      </c>
      <c r="B304" s="1">
        <v>730</v>
      </c>
    </row>
    <row r="305" spans="1:2" x14ac:dyDescent="0.2">
      <c r="A305" s="1">
        <v>1800</v>
      </c>
      <c r="B305" s="1">
        <v>666</v>
      </c>
    </row>
    <row r="306" spans="1:2" x14ac:dyDescent="0.2">
      <c r="A306" s="1">
        <v>1801</v>
      </c>
      <c r="B306" s="1">
        <v>399</v>
      </c>
    </row>
    <row r="307" spans="1:2" x14ac:dyDescent="0.2">
      <c r="A307" s="1">
        <v>1802</v>
      </c>
      <c r="B307" s="1">
        <v>0</v>
      </c>
    </row>
    <row r="308" spans="1:2" x14ac:dyDescent="0.2">
      <c r="A308" s="1">
        <v>1803</v>
      </c>
      <c r="B308" s="1">
        <v>222</v>
      </c>
    </row>
    <row r="309" spans="1:2" x14ac:dyDescent="0.2">
      <c r="A309" s="1">
        <v>1804</v>
      </c>
      <c r="B309" s="1">
        <v>387</v>
      </c>
    </row>
    <row r="310" spans="1:2" x14ac:dyDescent="0.2">
      <c r="A310" s="1">
        <v>1805</v>
      </c>
      <c r="B310" s="1">
        <v>507</v>
      </c>
    </row>
    <row r="311" spans="1:2" x14ac:dyDescent="0.2">
      <c r="A311" s="1">
        <v>1806</v>
      </c>
      <c r="B311" s="1">
        <v>519</v>
      </c>
    </row>
    <row r="312" spans="1:2" x14ac:dyDescent="0.2">
      <c r="A312" s="1">
        <v>1807</v>
      </c>
      <c r="B312" s="1">
        <v>559</v>
      </c>
    </row>
    <row r="313" spans="1:2" x14ac:dyDescent="0.2">
      <c r="A313" s="1">
        <v>1808</v>
      </c>
      <c r="B313" s="1">
        <v>469</v>
      </c>
    </row>
    <row r="314" spans="1:2" x14ac:dyDescent="0.2">
      <c r="A314" s="1">
        <v>1809</v>
      </c>
      <c r="B314" s="1">
        <v>571</v>
      </c>
    </row>
    <row r="315" spans="1:2" x14ac:dyDescent="0.2">
      <c r="A315" s="1">
        <v>1810</v>
      </c>
      <c r="B315" s="1">
        <v>619</v>
      </c>
    </row>
    <row r="316" spans="1:2" x14ac:dyDescent="0.2">
      <c r="A316" s="1">
        <v>1811</v>
      </c>
      <c r="B316" s="1">
        <v>470</v>
      </c>
    </row>
    <row r="317" spans="1:2" x14ac:dyDescent="0.2">
      <c r="A317" s="1">
        <v>1812</v>
      </c>
      <c r="B317" s="1">
        <v>475</v>
      </c>
    </row>
    <row r="318" spans="1:2" x14ac:dyDescent="0.2">
      <c r="A318" s="1">
        <v>1813</v>
      </c>
      <c r="B318" s="1">
        <v>371</v>
      </c>
    </row>
    <row r="319" spans="1:2" x14ac:dyDescent="0.2">
      <c r="A319" s="1">
        <v>1814</v>
      </c>
      <c r="B319" s="1">
        <v>145</v>
      </c>
    </row>
    <row r="322" spans="1:4" x14ac:dyDescent="0.2">
      <c r="A322" s="1" t="s">
        <v>46</v>
      </c>
    </row>
    <row r="323" spans="1:4" x14ac:dyDescent="0.2">
      <c r="B323" s="1" t="s">
        <v>47</v>
      </c>
    </row>
    <row r="324" spans="1:4" x14ac:dyDescent="0.2">
      <c r="A324" s="1">
        <v>1793</v>
      </c>
      <c r="B324" s="1">
        <v>132</v>
      </c>
    </row>
    <row r="325" spans="1:4" x14ac:dyDescent="0.2">
      <c r="A325" s="1">
        <v>1794</v>
      </c>
    </row>
    <row r="326" spans="1:4" x14ac:dyDescent="0.2">
      <c r="A326" s="1">
        <v>1795</v>
      </c>
    </row>
    <row r="327" spans="1:4" x14ac:dyDescent="0.2">
      <c r="A327" s="1">
        <v>1796</v>
      </c>
      <c r="B327" s="1">
        <v>45</v>
      </c>
    </row>
    <row r="328" spans="1:4" x14ac:dyDescent="0.2">
      <c r="A328" s="1">
        <v>1797</v>
      </c>
      <c r="B328" s="1">
        <v>145</v>
      </c>
    </row>
    <row r="329" spans="1:4" x14ac:dyDescent="0.2">
      <c r="A329" s="1">
        <v>1798</v>
      </c>
      <c r="B329" s="1">
        <v>144</v>
      </c>
    </row>
    <row r="330" spans="1:4" x14ac:dyDescent="0.2">
      <c r="A330" s="1">
        <v>1799</v>
      </c>
      <c r="B330" s="1">
        <v>117</v>
      </c>
    </row>
    <row r="331" spans="1:4" x14ac:dyDescent="0.2">
      <c r="A331" s="1">
        <v>1800</v>
      </c>
      <c r="B331" s="1">
        <v>87</v>
      </c>
    </row>
    <row r="332" spans="1:4" x14ac:dyDescent="0.2">
      <c r="A332" s="1">
        <v>1801</v>
      </c>
      <c r="B332" s="1">
        <v>55</v>
      </c>
    </row>
    <row r="334" spans="1:4" x14ac:dyDescent="0.2">
      <c r="A334" s="1" t="s">
        <v>48</v>
      </c>
    </row>
    <row r="335" spans="1:4" x14ac:dyDescent="0.2">
      <c r="A335" s="1" t="s">
        <v>49</v>
      </c>
      <c r="D335" s="1">
        <f>19000/198</f>
        <v>95.959595959595958</v>
      </c>
    </row>
    <row r="338" spans="1:9" x14ac:dyDescent="0.2">
      <c r="B338" s="1" t="s">
        <v>50</v>
      </c>
      <c r="C338" s="1" t="s">
        <v>51</v>
      </c>
      <c r="D338" s="1" t="s">
        <v>53</v>
      </c>
      <c r="E338" s="1" t="s">
        <v>57</v>
      </c>
      <c r="H338" s="1" t="s">
        <v>52</v>
      </c>
      <c r="I338" s="1">
        <f>SUM(C339:C347)/(SUM(B298:B306)-B299-B300)</f>
        <v>24.225126676157274</v>
      </c>
    </row>
    <row r="339" spans="1:9" x14ac:dyDescent="0.2">
      <c r="A339" s="1">
        <v>1793</v>
      </c>
      <c r="B339" s="1">
        <f>B324*$D$335</f>
        <v>12666.666666666666</v>
      </c>
      <c r="C339" s="1">
        <f>B339*$C$248</f>
        <v>18157.90568115942</v>
      </c>
      <c r="D339" s="1">
        <f>B298*$I$338</f>
        <v>8527.2445900073599</v>
      </c>
      <c r="E339" s="1">
        <f>D339/$C$248*$D$291</f>
        <v>3172.5175565471377</v>
      </c>
    </row>
    <row r="340" spans="1:9" x14ac:dyDescent="0.2">
      <c r="A340" s="1">
        <v>1794</v>
      </c>
      <c r="D340" s="1">
        <f t="shared" ref="D340:D360" si="32">B299*$I$338</f>
        <v>15600.981579445284</v>
      </c>
      <c r="E340" s="1">
        <f t="shared" ref="E340:E360" si="33">D340/$C$248*$D$291</f>
        <v>5804.2650750464682</v>
      </c>
    </row>
    <row r="341" spans="1:9" x14ac:dyDescent="0.2">
      <c r="A341" s="1">
        <v>1795</v>
      </c>
      <c r="D341" s="1">
        <f t="shared" si="32"/>
        <v>15504.081072740655</v>
      </c>
      <c r="E341" s="1">
        <f t="shared" si="33"/>
        <v>5768.2137391766146</v>
      </c>
    </row>
    <row r="342" spans="1:9" x14ac:dyDescent="0.2">
      <c r="A342" s="1">
        <v>1796</v>
      </c>
      <c r="B342" s="1">
        <f t="shared" ref="B342:B347" si="34">B327*$D$335</f>
        <v>4318.181818181818</v>
      </c>
      <c r="C342" s="1">
        <f>B342*1.5</f>
        <v>6477.272727272727</v>
      </c>
      <c r="D342" s="1">
        <f t="shared" si="32"/>
        <v>11846.086944640907</v>
      </c>
      <c r="E342" s="1">
        <f t="shared" si="33"/>
        <v>4407.2758100896317</v>
      </c>
    </row>
    <row r="343" spans="1:9" x14ac:dyDescent="0.2">
      <c r="A343" s="1">
        <v>1797</v>
      </c>
      <c r="B343" s="1">
        <f t="shared" si="34"/>
        <v>13914.141414141413</v>
      </c>
      <c r="C343" s="1">
        <f t="shared" ref="C343:C347" si="35">B343*1.5</f>
        <v>20871.21212121212</v>
      </c>
      <c r="D343" s="1">
        <f t="shared" si="32"/>
        <v>22989.645215673252</v>
      </c>
      <c r="E343" s="1">
        <f t="shared" si="33"/>
        <v>8553.1794351228236</v>
      </c>
    </row>
    <row r="344" spans="1:9" x14ac:dyDescent="0.2">
      <c r="A344" s="1">
        <v>1798</v>
      </c>
      <c r="B344" s="1">
        <f t="shared" si="34"/>
        <v>13818.181818181818</v>
      </c>
      <c r="C344" s="1">
        <f t="shared" si="35"/>
        <v>20727.272727272728</v>
      </c>
      <c r="D344" s="1">
        <f t="shared" si="32"/>
        <v>16666.887153196203</v>
      </c>
      <c r="E344" s="1">
        <f t="shared" si="33"/>
        <v>6200.8297696148602</v>
      </c>
    </row>
    <row r="345" spans="1:9" x14ac:dyDescent="0.2">
      <c r="A345" s="1">
        <v>1799</v>
      </c>
      <c r="B345" s="1">
        <f t="shared" si="34"/>
        <v>11227.272727272728</v>
      </c>
      <c r="C345" s="1">
        <f t="shared" si="35"/>
        <v>16840.909090909092</v>
      </c>
      <c r="D345" s="1">
        <f t="shared" si="32"/>
        <v>17684.34247359481</v>
      </c>
      <c r="E345" s="1">
        <f t="shared" si="33"/>
        <v>6579.3687962483255</v>
      </c>
    </row>
    <row r="346" spans="1:9" x14ac:dyDescent="0.2">
      <c r="A346" s="1">
        <v>1800</v>
      </c>
      <c r="B346" s="1">
        <f t="shared" si="34"/>
        <v>8348.484848484848</v>
      </c>
      <c r="C346" s="1">
        <f t="shared" si="35"/>
        <v>12522.727272727272</v>
      </c>
      <c r="D346" s="1">
        <f t="shared" si="32"/>
        <v>16133.934366320744</v>
      </c>
      <c r="E346" s="1">
        <f t="shared" si="33"/>
        <v>6002.5474223306637</v>
      </c>
    </row>
    <row r="347" spans="1:9" x14ac:dyDescent="0.2">
      <c r="A347" s="1">
        <v>1801</v>
      </c>
      <c r="B347" s="1">
        <f t="shared" si="34"/>
        <v>5277.7777777777774</v>
      </c>
      <c r="C347" s="1">
        <f t="shared" si="35"/>
        <v>7916.6666666666661</v>
      </c>
      <c r="D347" s="1">
        <f t="shared" si="32"/>
        <v>9665.825543786752</v>
      </c>
      <c r="E347" s="1">
        <f t="shared" si="33"/>
        <v>3596.1207530179199</v>
      </c>
    </row>
    <row r="348" spans="1:9" x14ac:dyDescent="0.2">
      <c r="A348" s="1">
        <v>1802</v>
      </c>
      <c r="D348" s="1">
        <f t="shared" si="32"/>
        <v>0</v>
      </c>
      <c r="E348" s="1">
        <f t="shared" si="33"/>
        <v>0</v>
      </c>
    </row>
    <row r="349" spans="1:9" x14ac:dyDescent="0.2">
      <c r="A349" s="1">
        <v>1803</v>
      </c>
      <c r="D349" s="1">
        <f t="shared" si="32"/>
        <v>5377.9781221069152</v>
      </c>
      <c r="E349" s="1">
        <f t="shared" si="33"/>
        <v>2000.8491407768881</v>
      </c>
    </row>
    <row r="350" spans="1:9" x14ac:dyDescent="0.2">
      <c r="A350" s="1">
        <v>1804</v>
      </c>
      <c r="D350" s="1">
        <f t="shared" si="32"/>
        <v>9375.1240236728645</v>
      </c>
      <c r="E350" s="1">
        <f t="shared" si="33"/>
        <v>3487.9667454083587</v>
      </c>
    </row>
    <row r="351" spans="1:9" x14ac:dyDescent="0.2">
      <c r="A351" s="1">
        <v>1805</v>
      </c>
      <c r="D351" s="1">
        <f t="shared" si="32"/>
        <v>12282.139224811737</v>
      </c>
      <c r="E351" s="1">
        <f t="shared" si="33"/>
        <v>4569.5068215039746</v>
      </c>
    </row>
    <row r="352" spans="1:9" x14ac:dyDescent="0.2">
      <c r="A352" s="1">
        <v>1806</v>
      </c>
      <c r="D352" s="1">
        <f t="shared" si="32"/>
        <v>12572.840744925625</v>
      </c>
      <c r="E352" s="1">
        <f t="shared" si="33"/>
        <v>4677.6608291135353</v>
      </c>
    </row>
    <row r="353" spans="1:5" x14ac:dyDescent="0.2">
      <c r="A353" s="1">
        <v>1807</v>
      </c>
      <c r="D353" s="1">
        <f t="shared" si="32"/>
        <v>13541.845811971916</v>
      </c>
      <c r="E353" s="1">
        <f t="shared" si="33"/>
        <v>5038.1741878120738</v>
      </c>
    </row>
    <row r="354" spans="1:5" x14ac:dyDescent="0.2">
      <c r="A354" s="1">
        <v>1808</v>
      </c>
      <c r="D354" s="1">
        <f t="shared" si="32"/>
        <v>11361.584411117761</v>
      </c>
      <c r="E354" s="1">
        <f t="shared" si="33"/>
        <v>4227.0191307403629</v>
      </c>
    </row>
    <row r="355" spans="1:5" x14ac:dyDescent="0.2">
      <c r="A355" s="1">
        <v>1809</v>
      </c>
      <c r="D355" s="1">
        <f t="shared" si="32"/>
        <v>13832.547332085804</v>
      </c>
      <c r="E355" s="1">
        <f t="shared" si="33"/>
        <v>5146.3281954216354</v>
      </c>
    </row>
    <row r="356" spans="1:5" x14ac:dyDescent="0.2">
      <c r="A356" s="1">
        <v>1810</v>
      </c>
      <c r="D356" s="1">
        <f t="shared" si="32"/>
        <v>14995.353412541352</v>
      </c>
      <c r="E356" s="1">
        <f t="shared" si="33"/>
        <v>5578.944225859882</v>
      </c>
    </row>
    <row r="357" spans="1:5" x14ac:dyDescent="0.2">
      <c r="A357" s="1">
        <v>1811</v>
      </c>
      <c r="D357" s="1">
        <f t="shared" si="32"/>
        <v>11385.809537793919</v>
      </c>
      <c r="E357" s="1">
        <f t="shared" si="33"/>
        <v>4236.0319647078259</v>
      </c>
    </row>
    <row r="358" spans="1:5" x14ac:dyDescent="0.2">
      <c r="A358" s="1">
        <v>1812</v>
      </c>
      <c r="D358" s="1">
        <f t="shared" si="32"/>
        <v>11506.935171174706</v>
      </c>
      <c r="E358" s="1">
        <f t="shared" si="33"/>
        <v>4281.0961345451433</v>
      </c>
    </row>
    <row r="359" spans="1:5" x14ac:dyDescent="0.2">
      <c r="A359" s="1">
        <v>1813</v>
      </c>
      <c r="D359" s="1">
        <f t="shared" si="32"/>
        <v>8987.5219968543479</v>
      </c>
      <c r="E359" s="1">
        <f t="shared" si="33"/>
        <v>3343.7614019289431</v>
      </c>
    </row>
    <row r="360" spans="1:5" x14ac:dyDescent="0.2">
      <c r="A360" s="1">
        <v>1814</v>
      </c>
      <c r="D360" s="1">
        <f t="shared" si="32"/>
        <v>3512.6433680428045</v>
      </c>
      <c r="E360" s="1">
        <f t="shared" si="33"/>
        <v>1306.8609252822016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2ADF-FFA8-0A46-9CC0-C7AD4F73CE98}">
  <dimension ref="A1:C128"/>
  <sheetViews>
    <sheetView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54</v>
      </c>
      <c r="B1" t="s">
        <v>58</v>
      </c>
      <c r="C1" t="s">
        <v>55</v>
      </c>
    </row>
    <row r="2" spans="1:3" x14ac:dyDescent="0.2">
      <c r="A2">
        <v>1688</v>
      </c>
      <c r="B2" s="1">
        <f>Calcul!B89</f>
        <v>7611.3111135567196</v>
      </c>
      <c r="C2" s="1">
        <f>Calcul!B70</f>
        <v>3210.9924125976399</v>
      </c>
    </row>
    <row r="3" spans="1:3" x14ac:dyDescent="0.2">
      <c r="A3">
        <v>1689</v>
      </c>
      <c r="B3" s="1">
        <f>Calcul!B90</f>
        <v>16844.281123752065</v>
      </c>
      <c r="C3" s="1">
        <f>Calcul!B71</f>
        <v>7106.1158947627182</v>
      </c>
    </row>
    <row r="4" spans="1:3" x14ac:dyDescent="0.2">
      <c r="A4">
        <v>1690</v>
      </c>
      <c r="B4" s="1">
        <f>Calcul!B91</f>
        <v>20176.099534169123</v>
      </c>
      <c r="C4" s="1">
        <f>Calcul!B72</f>
        <v>8511.7138891669947</v>
      </c>
    </row>
    <row r="5" spans="1:3" x14ac:dyDescent="0.2">
      <c r="A5">
        <v>1691</v>
      </c>
      <c r="B5" s="1">
        <f>Calcul!B92</f>
        <v>18950.991761579138</v>
      </c>
      <c r="C5" s="1">
        <f>Calcul!B73</f>
        <v>7994.8762900056336</v>
      </c>
    </row>
    <row r="6" spans="1:3" x14ac:dyDescent="0.2">
      <c r="A6">
        <v>1692</v>
      </c>
      <c r="B6" s="1">
        <f>Calcul!B93</f>
        <v>29354.686073465731</v>
      </c>
      <c r="C6" s="1">
        <f>Calcul!B74</f>
        <v>12383.894555065433</v>
      </c>
    </row>
    <row r="7" spans="1:3" x14ac:dyDescent="0.2">
      <c r="A7">
        <v>1693</v>
      </c>
      <c r="B7" s="1">
        <f>Calcul!B94</f>
        <v>30803.331584456068</v>
      </c>
      <c r="C7" s="1">
        <f>Calcul!B75</f>
        <v>12995.036272298423</v>
      </c>
    </row>
    <row r="8" spans="1:3" x14ac:dyDescent="0.2">
      <c r="A8">
        <v>1694</v>
      </c>
      <c r="B8" s="1">
        <f>Calcul!B95</f>
        <v>27639.965475250632</v>
      </c>
      <c r="C8" s="1">
        <f>Calcul!B76</f>
        <v>11660.503440387862</v>
      </c>
    </row>
    <row r="9" spans="1:3" x14ac:dyDescent="0.2">
      <c r="A9">
        <v>1695</v>
      </c>
      <c r="B9" s="1">
        <f>Calcul!B96</f>
        <v>26879.706254424676</v>
      </c>
      <c r="C9" s="1">
        <f>Calcul!B77</f>
        <v>11339.772024570229</v>
      </c>
    </row>
    <row r="10" spans="1:3" x14ac:dyDescent="0.2">
      <c r="A10">
        <v>1696</v>
      </c>
      <c r="B10" s="1">
        <f>Calcul!B97</f>
        <v>24197.189723360516</v>
      </c>
      <c r="C10" s="1">
        <f>Calcul!B78</f>
        <v>10208.095747066222</v>
      </c>
    </row>
    <row r="11" spans="1:3" x14ac:dyDescent="0.2">
      <c r="A11">
        <v>1697</v>
      </c>
      <c r="B11" s="1">
        <f>Calcul!B98</f>
        <v>21856.150227996106</v>
      </c>
      <c r="C11" s="1">
        <f>Calcul!B79</f>
        <v>9220.4787721382509</v>
      </c>
    </row>
    <row r="12" spans="1:3" x14ac:dyDescent="0.2">
      <c r="A12">
        <v>1698</v>
      </c>
      <c r="B12" s="1"/>
    </row>
    <row r="13" spans="1:3" x14ac:dyDescent="0.2">
      <c r="A13">
        <v>1699</v>
      </c>
    </row>
    <row r="14" spans="1:3" x14ac:dyDescent="0.2">
      <c r="A14">
        <v>1700</v>
      </c>
    </row>
    <row r="15" spans="1:3" x14ac:dyDescent="0.2">
      <c r="A15">
        <v>1701</v>
      </c>
    </row>
    <row r="16" spans="1:3" x14ac:dyDescent="0.2">
      <c r="A16">
        <v>1702</v>
      </c>
    </row>
    <row r="17" spans="1:1" x14ac:dyDescent="0.2">
      <c r="A17">
        <v>1703</v>
      </c>
    </row>
    <row r="18" spans="1:1" x14ac:dyDescent="0.2">
      <c r="A18">
        <v>1704</v>
      </c>
    </row>
    <row r="19" spans="1:1" x14ac:dyDescent="0.2">
      <c r="A19">
        <v>1705</v>
      </c>
    </row>
    <row r="20" spans="1:1" x14ac:dyDescent="0.2">
      <c r="A20">
        <v>1706</v>
      </c>
    </row>
    <row r="21" spans="1:1" x14ac:dyDescent="0.2">
      <c r="A21">
        <v>1707</v>
      </c>
    </row>
    <row r="22" spans="1:1" x14ac:dyDescent="0.2">
      <c r="A22">
        <v>1708</v>
      </c>
    </row>
    <row r="23" spans="1:1" x14ac:dyDescent="0.2">
      <c r="A23">
        <v>1709</v>
      </c>
    </row>
    <row r="24" spans="1:1" x14ac:dyDescent="0.2">
      <c r="A24">
        <v>1710</v>
      </c>
    </row>
    <row r="25" spans="1:1" x14ac:dyDescent="0.2">
      <c r="A25">
        <v>1711</v>
      </c>
    </row>
    <row r="26" spans="1:1" x14ac:dyDescent="0.2">
      <c r="A26">
        <v>1712</v>
      </c>
    </row>
    <row r="27" spans="1:1" x14ac:dyDescent="0.2">
      <c r="A27">
        <v>1713</v>
      </c>
    </row>
    <row r="28" spans="1:1" x14ac:dyDescent="0.2">
      <c r="A28">
        <v>1714</v>
      </c>
    </row>
    <row r="29" spans="1:1" x14ac:dyDescent="0.2">
      <c r="A29">
        <v>1715</v>
      </c>
    </row>
    <row r="30" spans="1:1" x14ac:dyDescent="0.2">
      <c r="A30">
        <v>1716</v>
      </c>
    </row>
    <row r="31" spans="1:1" x14ac:dyDescent="0.2">
      <c r="A31">
        <v>1717</v>
      </c>
    </row>
    <row r="32" spans="1:1" x14ac:dyDescent="0.2">
      <c r="A32">
        <v>1718</v>
      </c>
    </row>
    <row r="33" spans="1:1" x14ac:dyDescent="0.2">
      <c r="A33">
        <v>1719</v>
      </c>
    </row>
    <row r="34" spans="1:1" x14ac:dyDescent="0.2">
      <c r="A34">
        <v>1720</v>
      </c>
    </row>
    <row r="35" spans="1:1" x14ac:dyDescent="0.2">
      <c r="A35">
        <v>1721</v>
      </c>
    </row>
    <row r="36" spans="1:1" x14ac:dyDescent="0.2">
      <c r="A36">
        <v>1722</v>
      </c>
    </row>
    <row r="37" spans="1:1" x14ac:dyDescent="0.2">
      <c r="A37">
        <v>1723</v>
      </c>
    </row>
    <row r="38" spans="1:1" x14ac:dyDescent="0.2">
      <c r="A38">
        <v>1724</v>
      </c>
    </row>
    <row r="39" spans="1:1" x14ac:dyDescent="0.2">
      <c r="A39">
        <v>1725</v>
      </c>
    </row>
    <row r="40" spans="1:1" x14ac:dyDescent="0.2">
      <c r="A40">
        <v>1726</v>
      </c>
    </row>
    <row r="41" spans="1:1" x14ac:dyDescent="0.2">
      <c r="A41">
        <v>1727</v>
      </c>
    </row>
    <row r="42" spans="1:1" x14ac:dyDescent="0.2">
      <c r="A42">
        <v>1728</v>
      </c>
    </row>
    <row r="43" spans="1:1" x14ac:dyDescent="0.2">
      <c r="A43">
        <v>1729</v>
      </c>
    </row>
    <row r="44" spans="1:1" x14ac:dyDescent="0.2">
      <c r="A44">
        <v>1730</v>
      </c>
    </row>
    <row r="45" spans="1:1" x14ac:dyDescent="0.2">
      <c r="A45">
        <v>1731</v>
      </c>
    </row>
    <row r="46" spans="1:1" x14ac:dyDescent="0.2">
      <c r="A46">
        <v>1732</v>
      </c>
    </row>
    <row r="47" spans="1:1" x14ac:dyDescent="0.2">
      <c r="A47">
        <v>1733</v>
      </c>
    </row>
    <row r="48" spans="1:1" x14ac:dyDescent="0.2">
      <c r="A48">
        <v>1734</v>
      </c>
    </row>
    <row r="49" spans="1:3" x14ac:dyDescent="0.2">
      <c r="A49">
        <v>1735</v>
      </c>
    </row>
    <row r="50" spans="1:3" x14ac:dyDescent="0.2">
      <c r="A50">
        <v>1736</v>
      </c>
    </row>
    <row r="51" spans="1:3" x14ac:dyDescent="0.2">
      <c r="A51">
        <v>1737</v>
      </c>
    </row>
    <row r="52" spans="1:3" x14ac:dyDescent="0.2">
      <c r="A52">
        <v>1738</v>
      </c>
    </row>
    <row r="53" spans="1:3" x14ac:dyDescent="0.2">
      <c r="A53">
        <v>1739</v>
      </c>
    </row>
    <row r="54" spans="1:3" x14ac:dyDescent="0.2">
      <c r="A54">
        <v>1740</v>
      </c>
    </row>
    <row r="55" spans="1:3" x14ac:dyDescent="0.2">
      <c r="A55">
        <v>1741</v>
      </c>
    </row>
    <row r="56" spans="1:3" x14ac:dyDescent="0.2">
      <c r="A56">
        <v>1742</v>
      </c>
    </row>
    <row r="57" spans="1:3" x14ac:dyDescent="0.2">
      <c r="A57">
        <v>1743</v>
      </c>
    </row>
    <row r="58" spans="1:3" x14ac:dyDescent="0.2">
      <c r="A58">
        <v>1744</v>
      </c>
      <c r="B58" s="1">
        <f>Calcul!B163</f>
        <v>9830.3425360126203</v>
      </c>
      <c r="C58" s="1">
        <f>Calcul!B136</f>
        <v>5575.554826863925</v>
      </c>
    </row>
    <row r="59" spans="1:3" x14ac:dyDescent="0.2">
      <c r="A59">
        <v>1745</v>
      </c>
      <c r="B59" s="1">
        <f>Calcul!B164</f>
        <v>17653.01130132312</v>
      </c>
      <c r="C59" s="1">
        <f>Calcul!B137</f>
        <v>10012.401094794281</v>
      </c>
    </row>
    <row r="60" spans="1:3" x14ac:dyDescent="0.2">
      <c r="A60">
        <v>1746</v>
      </c>
      <c r="B60" s="1">
        <f>Calcul!B165</f>
        <v>17915.564676554666</v>
      </c>
      <c r="C60" s="1">
        <f>Calcul!B138</f>
        <v>10161.315614631088</v>
      </c>
    </row>
    <row r="61" spans="1:3" x14ac:dyDescent="0.2">
      <c r="A61">
        <v>1747</v>
      </c>
      <c r="B61" s="1">
        <f>Calcul!B166</f>
        <v>13070.40911811387</v>
      </c>
      <c r="C61" s="1">
        <f>Calcul!B139</f>
        <v>7413.2495770737905</v>
      </c>
    </row>
    <row r="62" spans="1:3" x14ac:dyDescent="0.2">
      <c r="A62">
        <v>1748</v>
      </c>
      <c r="B62" s="1">
        <f>Calcul!B167</f>
        <v>6798.5851405813928</v>
      </c>
      <c r="C62" s="1">
        <f>Calcul!B140</f>
        <v>3856.0084816524932</v>
      </c>
    </row>
    <row r="63" spans="1:3" x14ac:dyDescent="0.2">
      <c r="A63">
        <v>1749</v>
      </c>
      <c r="B63" s="1"/>
      <c r="C63" s="1"/>
    </row>
    <row r="64" spans="1:3" x14ac:dyDescent="0.2">
      <c r="A64">
        <v>1750</v>
      </c>
    </row>
    <row r="65" spans="1:3" x14ac:dyDescent="0.2">
      <c r="A65">
        <v>1751</v>
      </c>
    </row>
    <row r="66" spans="1:3" x14ac:dyDescent="0.2">
      <c r="A66">
        <v>1752</v>
      </c>
    </row>
    <row r="67" spans="1:3" x14ac:dyDescent="0.2">
      <c r="A67">
        <v>1753</v>
      </c>
    </row>
    <row r="68" spans="1:3" x14ac:dyDescent="0.2">
      <c r="A68">
        <v>1754</v>
      </c>
    </row>
    <row r="69" spans="1:3" x14ac:dyDescent="0.2">
      <c r="A69">
        <v>1755</v>
      </c>
    </row>
    <row r="70" spans="1:3" x14ac:dyDescent="0.2">
      <c r="A70">
        <v>1756</v>
      </c>
      <c r="B70" s="1">
        <f>Calcul!B223+Calcul!D223</f>
        <v>8943.4195369725203</v>
      </c>
      <c r="C70" s="1">
        <f>Calcul!B197</f>
        <v>3380.4385964912281</v>
      </c>
    </row>
    <row r="71" spans="1:3" x14ac:dyDescent="0.2">
      <c r="A71">
        <v>1757</v>
      </c>
      <c r="B71" s="1">
        <f>Calcul!B224+Calcul!D224</f>
        <v>12192.040782193719</v>
      </c>
      <c r="C71" s="1">
        <f>Calcul!B198</f>
        <v>10628.473684210527</v>
      </c>
    </row>
    <row r="72" spans="1:3" x14ac:dyDescent="0.2">
      <c r="A72">
        <v>1758</v>
      </c>
      <c r="B72" s="1">
        <f>Calcul!B225+Calcul!D225</f>
        <v>6793.4339992911191</v>
      </c>
      <c r="C72" s="1">
        <f>Calcul!B199</f>
        <v>5697.5614035087719</v>
      </c>
    </row>
    <row r="73" spans="1:3" x14ac:dyDescent="0.2">
      <c r="A73">
        <v>1759</v>
      </c>
      <c r="B73" s="1">
        <f>Calcul!B226+Calcul!D226</f>
        <v>7910.4598246606784</v>
      </c>
      <c r="C73" s="1">
        <f>Calcul!B200</f>
        <v>2858.9298245614036</v>
      </c>
    </row>
    <row r="74" spans="1:3" x14ac:dyDescent="0.2">
      <c r="A74">
        <v>1760</v>
      </c>
      <c r="B74" s="1">
        <f>Calcul!B227+Calcul!D227</f>
        <v>15976.749856030099</v>
      </c>
      <c r="C74" s="1">
        <f>Calcul!B201</f>
        <v>3438.2105263157896</v>
      </c>
    </row>
    <row r="75" spans="1:3" x14ac:dyDescent="0.2">
      <c r="A75">
        <v>1761</v>
      </c>
      <c r="B75" s="1">
        <f>Calcul!B228+Calcul!D228</f>
        <v>7771.1921690637191</v>
      </c>
      <c r="C75" s="1">
        <f>Calcul!B202</f>
        <v>3091.5789473684208</v>
      </c>
    </row>
    <row r="76" spans="1:3" x14ac:dyDescent="0.2">
      <c r="A76">
        <v>1762</v>
      </c>
      <c r="B76" s="1">
        <f>Calcul!B229+Calcul!D229</f>
        <v>5029.703448969447</v>
      </c>
      <c r="C76" s="1">
        <f>Calcul!B203</f>
        <v>3479.5877192982457</v>
      </c>
    </row>
    <row r="77" spans="1:3" x14ac:dyDescent="0.2">
      <c r="A77">
        <v>1763</v>
      </c>
      <c r="B77" s="1"/>
      <c r="C77" s="1"/>
    </row>
    <row r="78" spans="1:3" x14ac:dyDescent="0.2">
      <c r="A78">
        <v>1764</v>
      </c>
    </row>
    <row r="79" spans="1:3" x14ac:dyDescent="0.2">
      <c r="A79">
        <v>1765</v>
      </c>
    </row>
    <row r="80" spans="1:3" x14ac:dyDescent="0.2">
      <c r="A80">
        <v>1766</v>
      </c>
    </row>
    <row r="81" spans="1:3" x14ac:dyDescent="0.2">
      <c r="A81">
        <v>1767</v>
      </c>
    </row>
    <row r="82" spans="1:3" x14ac:dyDescent="0.2">
      <c r="A82">
        <v>1768</v>
      </c>
    </row>
    <row r="83" spans="1:3" x14ac:dyDescent="0.2">
      <c r="A83">
        <v>1769</v>
      </c>
    </row>
    <row r="84" spans="1:3" x14ac:dyDescent="0.2">
      <c r="A84">
        <v>1770</v>
      </c>
    </row>
    <row r="85" spans="1:3" x14ac:dyDescent="0.2">
      <c r="A85">
        <v>1771</v>
      </c>
    </row>
    <row r="86" spans="1:3" x14ac:dyDescent="0.2">
      <c r="A86">
        <v>1772</v>
      </c>
    </row>
    <row r="87" spans="1:3" x14ac:dyDescent="0.2">
      <c r="A87">
        <v>1773</v>
      </c>
    </row>
    <row r="88" spans="1:3" x14ac:dyDescent="0.2">
      <c r="A88">
        <v>1774</v>
      </c>
    </row>
    <row r="89" spans="1:3" x14ac:dyDescent="0.2">
      <c r="A89">
        <v>1775</v>
      </c>
    </row>
    <row r="90" spans="1:3" x14ac:dyDescent="0.2">
      <c r="A90">
        <v>1776</v>
      </c>
    </row>
    <row r="91" spans="1:3" x14ac:dyDescent="0.2">
      <c r="A91">
        <v>1777</v>
      </c>
    </row>
    <row r="92" spans="1:3" x14ac:dyDescent="0.2">
      <c r="A92">
        <v>1778</v>
      </c>
      <c r="B92" s="1">
        <f>Calcul!B259+Calcul!B285</f>
        <v>14930.418512184069</v>
      </c>
      <c r="C92" s="1">
        <f>Calcul!B267</f>
        <v>2818.521699424497</v>
      </c>
    </row>
    <row r="93" spans="1:3" x14ac:dyDescent="0.2">
      <c r="A93">
        <v>1779</v>
      </c>
      <c r="B93" s="1">
        <f>Calcul!B260+Calcul!B286</f>
        <v>10619.801488108289</v>
      </c>
      <c r="C93" s="1">
        <f>Calcul!B268</f>
        <v>4086.8564641655207</v>
      </c>
    </row>
    <row r="94" spans="1:3" x14ac:dyDescent="0.2">
      <c r="A94">
        <v>1780</v>
      </c>
      <c r="B94" s="1">
        <f>Calcul!B261+Calcul!B287</f>
        <v>15067.169524477773</v>
      </c>
      <c r="C94" s="1">
        <f>Calcul!B269</f>
        <v>6482.5999086763431</v>
      </c>
    </row>
    <row r="95" spans="1:3" x14ac:dyDescent="0.2">
      <c r="A95">
        <v>1781</v>
      </c>
      <c r="B95" s="1">
        <f>Calcul!B262+Calcul!B288</f>
        <v>19371.939364703474</v>
      </c>
      <c r="C95" s="1">
        <f>Calcul!B270</f>
        <v>6623.5259936475677</v>
      </c>
    </row>
    <row r="96" spans="1:3" x14ac:dyDescent="0.2">
      <c r="A96">
        <v>1782</v>
      </c>
      <c r="B96" s="1">
        <f>Calcul!B263+Calcul!B289</f>
        <v>14202.005584060576</v>
      </c>
      <c r="C96" s="1">
        <f>Calcul!B271</f>
        <v>7469.0825034749168</v>
      </c>
    </row>
    <row r="97" spans="1:3" x14ac:dyDescent="0.2">
      <c r="A97">
        <v>1783</v>
      </c>
      <c r="B97" s="1">
        <f>Calcul!B264+Calcul!B290</f>
        <v>808.6655264658159</v>
      </c>
      <c r="C97" s="1">
        <f>Calcul!B272</f>
        <v>422.77825491367457</v>
      </c>
    </row>
    <row r="98" spans="1:3" x14ac:dyDescent="0.2">
      <c r="A98">
        <v>1784</v>
      </c>
      <c r="B98" s="1"/>
    </row>
    <row r="99" spans="1:3" x14ac:dyDescent="0.2">
      <c r="A99">
        <v>1785</v>
      </c>
    </row>
    <row r="100" spans="1:3" x14ac:dyDescent="0.2">
      <c r="A100">
        <v>1786</v>
      </c>
    </row>
    <row r="101" spans="1:3" x14ac:dyDescent="0.2">
      <c r="A101">
        <v>1787</v>
      </c>
    </row>
    <row r="102" spans="1:3" x14ac:dyDescent="0.2">
      <c r="A102">
        <v>1788</v>
      </c>
    </row>
    <row r="103" spans="1:3" x14ac:dyDescent="0.2">
      <c r="A103">
        <v>1789</v>
      </c>
    </row>
    <row r="104" spans="1:3" x14ac:dyDescent="0.2">
      <c r="A104">
        <v>1790</v>
      </c>
    </row>
    <row r="105" spans="1:3" x14ac:dyDescent="0.2">
      <c r="A105">
        <v>1791</v>
      </c>
    </row>
    <row r="106" spans="1:3" x14ac:dyDescent="0.2">
      <c r="A106">
        <v>1792</v>
      </c>
    </row>
    <row r="107" spans="1:3" x14ac:dyDescent="0.2">
      <c r="A107">
        <v>1793</v>
      </c>
      <c r="B107" s="1">
        <f>Calcul!D339</f>
        <v>8527.2445900073599</v>
      </c>
      <c r="C107" s="1">
        <f>Calcul!E339</f>
        <v>3172.5175565471377</v>
      </c>
    </row>
    <row r="108" spans="1:3" x14ac:dyDescent="0.2">
      <c r="A108">
        <v>1794</v>
      </c>
      <c r="B108" s="1">
        <f>Calcul!D340</f>
        <v>15600.981579445284</v>
      </c>
      <c r="C108" s="1">
        <f>Calcul!E340</f>
        <v>5804.2650750464682</v>
      </c>
    </row>
    <row r="109" spans="1:3" x14ac:dyDescent="0.2">
      <c r="A109">
        <v>1795</v>
      </c>
      <c r="B109" s="1">
        <f>Calcul!D341</f>
        <v>15504.081072740655</v>
      </c>
      <c r="C109" s="1">
        <f>Calcul!E341</f>
        <v>5768.2137391766146</v>
      </c>
    </row>
    <row r="110" spans="1:3" x14ac:dyDescent="0.2">
      <c r="A110">
        <v>1796</v>
      </c>
      <c r="B110" s="1">
        <f>Calcul!D342</f>
        <v>11846.086944640907</v>
      </c>
      <c r="C110" s="1">
        <f>Calcul!E342</f>
        <v>4407.2758100896317</v>
      </c>
    </row>
    <row r="111" spans="1:3" x14ac:dyDescent="0.2">
      <c r="A111">
        <v>1797</v>
      </c>
      <c r="B111" s="1">
        <f>Calcul!D343</f>
        <v>22989.645215673252</v>
      </c>
      <c r="C111" s="1">
        <f>Calcul!E343</f>
        <v>8553.1794351228236</v>
      </c>
    </row>
    <row r="112" spans="1:3" x14ac:dyDescent="0.2">
      <c r="A112">
        <v>1798</v>
      </c>
      <c r="B112" s="1">
        <f>Calcul!D344</f>
        <v>16666.887153196203</v>
      </c>
      <c r="C112" s="1">
        <f>Calcul!E344</f>
        <v>6200.8297696148602</v>
      </c>
    </row>
    <row r="113" spans="1:3" x14ac:dyDescent="0.2">
      <c r="A113">
        <v>1799</v>
      </c>
      <c r="B113" s="1">
        <f>Calcul!D345</f>
        <v>17684.34247359481</v>
      </c>
      <c r="C113" s="1">
        <f>Calcul!E345</f>
        <v>6579.3687962483255</v>
      </c>
    </row>
    <row r="114" spans="1:3" x14ac:dyDescent="0.2">
      <c r="A114">
        <v>1800</v>
      </c>
      <c r="B114" s="1">
        <f>Calcul!D346</f>
        <v>16133.934366320744</v>
      </c>
      <c r="C114" s="1">
        <f>Calcul!E346</f>
        <v>6002.5474223306637</v>
      </c>
    </row>
    <row r="115" spans="1:3" x14ac:dyDescent="0.2">
      <c r="A115">
        <v>1801</v>
      </c>
      <c r="B115" s="1">
        <f>Calcul!D347</f>
        <v>9665.825543786752</v>
      </c>
      <c r="C115" s="1">
        <f>Calcul!E347</f>
        <v>3596.1207530179199</v>
      </c>
    </row>
    <row r="116" spans="1:3" x14ac:dyDescent="0.2">
      <c r="A116">
        <v>1802</v>
      </c>
      <c r="B116" s="1"/>
      <c r="C116" s="1"/>
    </row>
    <row r="117" spans="1:3" x14ac:dyDescent="0.2">
      <c r="A117">
        <v>1803</v>
      </c>
      <c r="B117" s="1">
        <f>Calcul!D349</f>
        <v>5377.9781221069152</v>
      </c>
      <c r="C117" s="1">
        <f>Calcul!E349</f>
        <v>2000.8491407768881</v>
      </c>
    </row>
    <row r="118" spans="1:3" x14ac:dyDescent="0.2">
      <c r="A118">
        <v>1804</v>
      </c>
      <c r="B118" s="1">
        <f>Calcul!D350</f>
        <v>9375.1240236728645</v>
      </c>
      <c r="C118" s="1">
        <f>Calcul!E350</f>
        <v>3487.9667454083587</v>
      </c>
    </row>
    <row r="119" spans="1:3" x14ac:dyDescent="0.2">
      <c r="A119">
        <v>1805</v>
      </c>
      <c r="B119" s="1">
        <f>Calcul!D351</f>
        <v>12282.139224811737</v>
      </c>
      <c r="C119" s="1">
        <f>Calcul!E351</f>
        <v>4569.5068215039746</v>
      </c>
    </row>
    <row r="120" spans="1:3" x14ac:dyDescent="0.2">
      <c r="A120">
        <v>1806</v>
      </c>
      <c r="B120" s="1">
        <f>Calcul!D352</f>
        <v>12572.840744925625</v>
      </c>
      <c r="C120" s="1">
        <f>Calcul!E352</f>
        <v>4677.6608291135353</v>
      </c>
    </row>
    <row r="121" spans="1:3" x14ac:dyDescent="0.2">
      <c r="A121">
        <v>1807</v>
      </c>
      <c r="B121" s="1">
        <f>Calcul!D353</f>
        <v>13541.845811971916</v>
      </c>
      <c r="C121" s="1">
        <f>Calcul!E353</f>
        <v>5038.1741878120738</v>
      </c>
    </row>
    <row r="122" spans="1:3" x14ac:dyDescent="0.2">
      <c r="A122">
        <v>1808</v>
      </c>
      <c r="B122" s="1">
        <f>Calcul!D354</f>
        <v>11361.584411117761</v>
      </c>
      <c r="C122" s="1">
        <f>Calcul!E354</f>
        <v>4227.0191307403629</v>
      </c>
    </row>
    <row r="123" spans="1:3" x14ac:dyDescent="0.2">
      <c r="A123">
        <v>1809</v>
      </c>
      <c r="B123" s="1">
        <f>Calcul!D355</f>
        <v>13832.547332085804</v>
      </c>
      <c r="C123" s="1">
        <f>Calcul!E355</f>
        <v>5146.3281954216354</v>
      </c>
    </row>
    <row r="124" spans="1:3" x14ac:dyDescent="0.2">
      <c r="A124">
        <v>1810</v>
      </c>
      <c r="B124" s="1">
        <f>Calcul!D356</f>
        <v>14995.353412541352</v>
      </c>
      <c r="C124" s="1">
        <f>Calcul!E356</f>
        <v>5578.944225859882</v>
      </c>
    </row>
    <row r="125" spans="1:3" x14ac:dyDescent="0.2">
      <c r="A125">
        <v>1811</v>
      </c>
      <c r="B125" s="1">
        <f>Calcul!D357</f>
        <v>11385.809537793919</v>
      </c>
      <c r="C125" s="1">
        <f>Calcul!E357</f>
        <v>4236.0319647078259</v>
      </c>
    </row>
    <row r="126" spans="1:3" x14ac:dyDescent="0.2">
      <c r="A126">
        <v>1812</v>
      </c>
      <c r="B126" s="1">
        <f>Calcul!D358</f>
        <v>11506.935171174706</v>
      </c>
      <c r="C126" s="1">
        <f>Calcul!E358</f>
        <v>4281.0961345451433</v>
      </c>
    </row>
    <row r="127" spans="1:3" x14ac:dyDescent="0.2">
      <c r="A127">
        <v>1813</v>
      </c>
      <c r="B127" s="1">
        <f>Calcul!D359</f>
        <v>8987.5219968543479</v>
      </c>
      <c r="C127" s="1">
        <f>Calcul!E359</f>
        <v>3343.7614019289431</v>
      </c>
    </row>
    <row r="128" spans="1:3" x14ac:dyDescent="0.2">
      <c r="A128">
        <v>1814</v>
      </c>
      <c r="B128" s="1">
        <f>Calcul!D360</f>
        <v>3512.6433680428045</v>
      </c>
      <c r="C128" s="1">
        <f>Calcul!E360</f>
        <v>1306.8609252822016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Guillaume DAUDIN</cp:lastModifiedBy>
  <dcterms:created xsi:type="dcterms:W3CDTF">2022-06-09T16:12:38Z</dcterms:created>
  <dcterms:modified xsi:type="dcterms:W3CDTF">2024-04-15T15:47:57Z</dcterms:modified>
</cp:coreProperties>
</file>