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Répertoires Git/2016-Hamburg-Impact-of-War/External Data/"/>
    </mc:Choice>
  </mc:AlternateContent>
  <xr:revisionPtr revIDLastSave="0" documentId="13_ncr:1_{F5E6AD50-A8E3-8248-811A-BB4EFD8EB93F}" xr6:coauthVersionLast="45" xr6:coauthVersionMax="47" xr10:uidLastSave="{00000000-0000-0000-0000-000000000000}"/>
  <bookViews>
    <workbookView xWindow="0" yWindow="500" windowWidth="28800" windowHeight="16720" xr2:uid="{E3D52932-A783-EC49-8617-8937D12F747E}"/>
  </bookViews>
  <sheets>
    <sheet name="Calcul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8" i="1" l="1"/>
  <c r="B247" i="1"/>
  <c r="B245" i="1"/>
  <c r="B243" i="1"/>
  <c r="B242" i="1"/>
  <c r="B241" i="1"/>
  <c r="B240" i="1"/>
  <c r="B239" i="1"/>
  <c r="B238" i="1"/>
  <c r="B237" i="1"/>
  <c r="B236" i="1"/>
  <c r="B246" i="1"/>
  <c r="B244" i="1"/>
  <c r="K234" i="1"/>
  <c r="I234" i="1"/>
  <c r="H234" i="1"/>
  <c r="G234" i="1"/>
  <c r="B248" i="1" l="1"/>
  <c r="L229" i="1"/>
  <c r="K229" i="1"/>
  <c r="J229" i="1"/>
  <c r="I229" i="1"/>
  <c r="H229" i="1"/>
  <c r="G229" i="1"/>
  <c r="F229" i="1"/>
  <c r="E229" i="1"/>
  <c r="D229" i="1"/>
  <c r="C229" i="1"/>
  <c r="B229" i="1"/>
  <c r="J228" i="1"/>
  <c r="I228" i="1"/>
  <c r="C228" i="1"/>
  <c r="D228" i="1"/>
  <c r="E228" i="1"/>
  <c r="F228" i="1"/>
  <c r="G228" i="1"/>
  <c r="H228" i="1"/>
  <c r="B228" i="1"/>
  <c r="B93" i="1"/>
  <c r="B191" i="1"/>
  <c r="B192" i="1" s="1"/>
  <c r="C192" i="1" s="1"/>
  <c r="E173" i="1"/>
  <c r="D176" i="1"/>
  <c r="E176" i="1" s="1"/>
  <c r="D175" i="1"/>
  <c r="E175" i="1" s="1"/>
  <c r="D174" i="1"/>
  <c r="E174" i="1" s="1"/>
  <c r="D173" i="1"/>
  <c r="D172" i="1"/>
  <c r="E172" i="1" s="1"/>
  <c r="D171" i="1"/>
  <c r="E171" i="1" s="1"/>
  <c r="C168" i="1"/>
  <c r="B157" i="1"/>
  <c r="B156" i="1"/>
  <c r="K148" i="1"/>
  <c r="B161" i="1" s="1"/>
  <c r="J148" i="1"/>
  <c r="B159" i="1" s="1"/>
  <c r="I148" i="1"/>
  <c r="B158" i="1" s="1"/>
  <c r="H148" i="1"/>
  <c r="G148" i="1"/>
  <c r="F148" i="1"/>
  <c r="B155" i="1" s="1"/>
  <c r="E148" i="1"/>
  <c r="B154" i="1" s="1"/>
  <c r="D148" i="1"/>
  <c r="B153" i="1" s="1"/>
  <c r="C148" i="1"/>
  <c r="B152" i="1" s="1"/>
  <c r="B148" i="1"/>
  <c r="B151" i="1" s="1"/>
  <c r="L135" i="1"/>
  <c r="L134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C167" i="1" s="1"/>
  <c r="L120" i="1"/>
  <c r="C166" i="1" s="1"/>
  <c r="C191" i="1" l="1"/>
  <c r="B150" i="1"/>
  <c r="B160" i="1"/>
  <c r="B162" i="1" s="1"/>
  <c r="B163" i="1" s="1"/>
  <c r="L148" i="1"/>
  <c r="E231" i="1" s="1"/>
  <c r="B73" i="1"/>
  <c r="B77" i="1" s="1"/>
  <c r="G77" i="1" s="1"/>
  <c r="K51" i="1"/>
  <c r="K66" i="1"/>
  <c r="I65" i="1"/>
  <c r="H66" i="1"/>
  <c r="G66" i="1"/>
  <c r="F66" i="1"/>
  <c r="E66" i="1"/>
  <c r="D66" i="1"/>
  <c r="C66" i="1"/>
  <c r="B66" i="1"/>
  <c r="J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H51" i="1"/>
  <c r="G51" i="1"/>
  <c r="F51" i="1"/>
  <c r="E51" i="1"/>
  <c r="D51" i="1"/>
  <c r="C51" i="1"/>
  <c r="B51" i="1"/>
  <c r="I42" i="1"/>
  <c r="I43" i="1"/>
  <c r="I44" i="1"/>
  <c r="I45" i="1"/>
  <c r="I46" i="1"/>
  <c r="I47" i="1"/>
  <c r="I48" i="1"/>
  <c r="I49" i="1"/>
  <c r="I50" i="1"/>
  <c r="I41" i="1"/>
  <c r="J44" i="1"/>
  <c r="J50" i="1"/>
  <c r="J49" i="1"/>
  <c r="J48" i="1"/>
  <c r="J47" i="1"/>
  <c r="J46" i="1"/>
  <c r="J45" i="1"/>
  <c r="J43" i="1"/>
  <c r="J42" i="1"/>
  <c r="J41" i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22" i="1"/>
  <c r="J22" i="1" s="1"/>
  <c r="B204" i="1" l="1"/>
  <c r="B205" i="1"/>
  <c r="B198" i="1"/>
  <c r="B206" i="1"/>
  <c r="B199" i="1"/>
  <c r="B207" i="1"/>
  <c r="B200" i="1"/>
  <c r="B201" i="1"/>
  <c r="B197" i="1"/>
  <c r="B196" i="1"/>
  <c r="B202" i="1"/>
  <c r="B203" i="1"/>
  <c r="L41" i="1"/>
  <c r="L47" i="1"/>
  <c r="B86" i="1" s="1"/>
  <c r="B80" i="1"/>
  <c r="C2" i="2" s="1"/>
  <c r="L56" i="1"/>
  <c r="L46" i="1"/>
  <c r="B85" i="1" s="1"/>
  <c r="L50" i="1"/>
  <c r="B89" i="1" s="1"/>
  <c r="L64" i="1"/>
  <c r="L44" i="1"/>
  <c r="B83" i="1" s="1"/>
  <c r="L43" i="1"/>
  <c r="B82" i="1" s="1"/>
  <c r="L62" i="1"/>
  <c r="I51" i="1"/>
  <c r="L49" i="1"/>
  <c r="B88" i="1" s="1"/>
  <c r="L48" i="1"/>
  <c r="B87" i="1" s="1"/>
  <c r="L45" i="1"/>
  <c r="L58" i="1"/>
  <c r="L61" i="1"/>
  <c r="L60" i="1"/>
  <c r="L65" i="1"/>
  <c r="L59" i="1"/>
  <c r="L63" i="1"/>
  <c r="J66" i="1"/>
  <c r="L57" i="1"/>
  <c r="J32" i="1"/>
  <c r="L42" i="1"/>
  <c r="B81" i="1" s="1"/>
  <c r="I66" i="1"/>
  <c r="J51" i="1"/>
  <c r="I32" i="1"/>
  <c r="B302" i="1"/>
  <c r="D300" i="1"/>
  <c r="E300" i="1" s="1"/>
  <c r="D299" i="1"/>
  <c r="E299" i="1" s="1"/>
  <c r="D298" i="1"/>
  <c r="E298" i="1" s="1"/>
  <c r="D297" i="1"/>
  <c r="C302" i="1"/>
  <c r="B208" i="1" l="1"/>
  <c r="L95" i="1"/>
  <c r="L96" i="1" s="1"/>
  <c r="E97" i="1" s="1"/>
  <c r="E98" i="1" s="1"/>
  <c r="L51" i="1"/>
  <c r="N45" i="1" s="1"/>
  <c r="C7" i="2"/>
  <c r="C4" i="2"/>
  <c r="C11" i="2"/>
  <c r="C10" i="2"/>
  <c r="C3" i="2"/>
  <c r="C5" i="2"/>
  <c r="C9" i="2"/>
  <c r="C8" i="2"/>
  <c r="B84" i="1"/>
  <c r="D302" i="1"/>
  <c r="E301" i="1" s="1"/>
  <c r="L66" i="1"/>
  <c r="E297" i="1"/>
  <c r="D479" i="1"/>
  <c r="B491" i="1" s="1"/>
  <c r="C491" i="1" s="1"/>
  <c r="E302" i="1" l="1"/>
  <c r="N63" i="1"/>
  <c r="N56" i="1"/>
  <c r="N58" i="1"/>
  <c r="N60" i="1"/>
  <c r="N50" i="1"/>
  <c r="N64" i="1"/>
  <c r="N48" i="1"/>
  <c r="N42" i="1"/>
  <c r="N57" i="1"/>
  <c r="N47" i="1"/>
  <c r="N62" i="1"/>
  <c r="N46" i="1"/>
  <c r="N49" i="1"/>
  <c r="N61" i="1"/>
  <c r="N44" i="1"/>
  <c r="N43" i="1"/>
  <c r="N59" i="1"/>
  <c r="N65" i="1"/>
  <c r="N41" i="1"/>
  <c r="B90" i="1"/>
  <c r="B105" i="1" s="1"/>
  <c r="B6" i="2" s="1"/>
  <c r="C6" i="2"/>
  <c r="B490" i="1"/>
  <c r="C490" i="1" s="1"/>
  <c r="B489" i="1"/>
  <c r="C489" i="1" s="1"/>
  <c r="B488" i="1"/>
  <c r="C488" i="1" s="1"/>
  <c r="B486" i="1"/>
  <c r="C486" i="1" s="1"/>
  <c r="B483" i="1"/>
  <c r="B487" i="1"/>
  <c r="C487" i="1" s="1"/>
  <c r="B420" i="1"/>
  <c r="B426" i="1" s="1"/>
  <c r="B401" i="1"/>
  <c r="B390" i="1"/>
  <c r="B392" i="1" s="1"/>
  <c r="C392" i="1" s="1"/>
  <c r="B101" i="1" l="1"/>
  <c r="B2" i="2" s="1"/>
  <c r="N66" i="1"/>
  <c r="N51" i="1"/>
  <c r="B109" i="1"/>
  <c r="B10" i="2" s="1"/>
  <c r="B107" i="1"/>
  <c r="B8" i="2" s="1"/>
  <c r="B104" i="1"/>
  <c r="B5" i="2" s="1"/>
  <c r="B106" i="1"/>
  <c r="B7" i="2" s="1"/>
  <c r="B108" i="1"/>
  <c r="B9" i="2" s="1"/>
  <c r="B102" i="1"/>
  <c r="B3" i="2" s="1"/>
  <c r="B103" i="1"/>
  <c r="B4" i="2" s="1"/>
  <c r="B110" i="1"/>
  <c r="B11" i="2" s="1"/>
  <c r="C483" i="1"/>
  <c r="I482" i="1" s="1"/>
  <c r="D487" i="1" s="1"/>
  <c r="D488" i="1"/>
  <c r="D504" i="1"/>
  <c r="D489" i="1"/>
  <c r="D497" i="1"/>
  <c r="D494" i="1"/>
  <c r="D500" i="1"/>
  <c r="B412" i="1"/>
  <c r="C93" i="2" s="1"/>
  <c r="B405" i="1"/>
  <c r="B430" i="1"/>
  <c r="B433" i="1"/>
  <c r="B431" i="1"/>
  <c r="B432" i="1"/>
  <c r="B434" i="1"/>
  <c r="B429" i="1"/>
  <c r="B408" i="1"/>
  <c r="B404" i="1"/>
  <c r="B411" i="1"/>
  <c r="C92" i="2" s="1"/>
  <c r="B416" i="1"/>
  <c r="C97" i="2" s="1"/>
  <c r="B415" i="1"/>
  <c r="C96" i="2" s="1"/>
  <c r="B407" i="1"/>
  <c r="B413" i="1"/>
  <c r="C94" i="2" s="1"/>
  <c r="B403" i="1"/>
  <c r="B414" i="1"/>
  <c r="C95" i="2" s="1"/>
  <c r="B406" i="1"/>
  <c r="G355" i="1"/>
  <c r="G358" i="1"/>
  <c r="G357" i="1"/>
  <c r="G356" i="1"/>
  <c r="G354" i="1"/>
  <c r="G353" i="1"/>
  <c r="G352" i="1"/>
  <c r="F358" i="1"/>
  <c r="F357" i="1"/>
  <c r="F356" i="1"/>
  <c r="F355" i="1"/>
  <c r="F354" i="1"/>
  <c r="F353" i="1"/>
  <c r="F352" i="1"/>
  <c r="D359" i="1"/>
  <c r="B359" i="1"/>
  <c r="E328" i="1"/>
  <c r="E329" i="1"/>
  <c r="E330" i="1"/>
  <c r="E331" i="1"/>
  <c r="E332" i="1"/>
  <c r="E333" i="1"/>
  <c r="E327" i="1"/>
  <c r="E338" i="1"/>
  <c r="D334" i="1"/>
  <c r="C334" i="1"/>
  <c r="B334" i="1"/>
  <c r="E276" i="1"/>
  <c r="C268" i="1"/>
  <c r="C269" i="1"/>
  <c r="C270" i="1"/>
  <c r="C271" i="1"/>
  <c r="C267" i="1"/>
  <c r="E265" i="1"/>
  <c r="D267" i="1" s="1"/>
  <c r="E264" i="1"/>
  <c r="B268" i="1" s="1"/>
  <c r="B258" i="1"/>
  <c r="D499" i="1" l="1"/>
  <c r="D491" i="1"/>
  <c r="D493" i="1"/>
  <c r="D498" i="1"/>
  <c r="B122" i="2" s="1"/>
  <c r="B97" i="2"/>
  <c r="D502" i="1"/>
  <c r="B126" i="2" s="1"/>
  <c r="D486" i="1"/>
  <c r="B110" i="2" s="1"/>
  <c r="D501" i="1"/>
  <c r="B125" i="2" s="1"/>
  <c r="D496" i="1"/>
  <c r="B120" i="2" s="1"/>
  <c r="D485" i="1"/>
  <c r="B109" i="2" s="1"/>
  <c r="D484" i="1"/>
  <c r="B108" i="2" s="1"/>
  <c r="D490" i="1"/>
  <c r="D503" i="1"/>
  <c r="D492" i="1"/>
  <c r="D483" i="1"/>
  <c r="B107" i="2" s="1"/>
  <c r="D495" i="1"/>
  <c r="B119" i="2" s="1"/>
  <c r="B95" i="2"/>
  <c r="B93" i="2"/>
  <c r="B94" i="2"/>
  <c r="G338" i="1"/>
  <c r="B342" i="1" s="1"/>
  <c r="C71" i="2" s="1"/>
  <c r="F338" i="1"/>
  <c r="B117" i="2"/>
  <c r="B409" i="1"/>
  <c r="B92" i="2"/>
  <c r="B115" i="2"/>
  <c r="B124" i="2"/>
  <c r="B128" i="2"/>
  <c r="B113" i="2"/>
  <c r="B96" i="2"/>
  <c r="B112" i="2"/>
  <c r="B118" i="2"/>
  <c r="B114" i="2"/>
  <c r="B127" i="2"/>
  <c r="B123" i="2"/>
  <c r="B121" i="2"/>
  <c r="B111" i="2"/>
  <c r="B435" i="1"/>
  <c r="E334" i="1"/>
  <c r="D271" i="1"/>
  <c r="D270" i="1"/>
  <c r="D269" i="1"/>
  <c r="D268" i="1"/>
  <c r="D360" i="1"/>
  <c r="B360" i="1"/>
  <c r="G359" i="1"/>
  <c r="F359" i="1"/>
  <c r="C272" i="1"/>
  <c r="B267" i="1"/>
  <c r="B270" i="1"/>
  <c r="B269" i="1"/>
  <c r="B271" i="1"/>
  <c r="B347" i="1" l="1"/>
  <c r="C76" i="2" s="1"/>
  <c r="B341" i="1"/>
  <c r="C70" i="2" s="1"/>
  <c r="B345" i="1"/>
  <c r="C74" i="2" s="1"/>
  <c r="B343" i="1"/>
  <c r="C72" i="2" s="1"/>
  <c r="B344" i="1"/>
  <c r="C73" i="2" s="1"/>
  <c r="B346" i="1"/>
  <c r="C75" i="2" s="1"/>
  <c r="D435" i="1"/>
  <c r="E487" i="1" s="1"/>
  <c r="C111" i="2" s="1"/>
  <c r="D272" i="1"/>
  <c r="C352" i="1"/>
  <c r="E352" i="1" s="1"/>
  <c r="B367" i="1" s="1"/>
  <c r="C356" i="1"/>
  <c r="E356" i="1" s="1"/>
  <c r="B371" i="1" s="1"/>
  <c r="C355" i="1"/>
  <c r="E355" i="1" s="1"/>
  <c r="C354" i="1"/>
  <c r="E354" i="1" s="1"/>
  <c r="C358" i="1"/>
  <c r="E358" i="1" s="1"/>
  <c r="B373" i="1" s="1"/>
  <c r="C357" i="1"/>
  <c r="E357" i="1" s="1"/>
  <c r="B372" i="1" s="1"/>
  <c r="C353" i="1"/>
  <c r="E353" i="1" s="1"/>
  <c r="B368" i="1" s="1"/>
  <c r="B272" i="1"/>
  <c r="E495" i="1" l="1"/>
  <c r="C119" i="2" s="1"/>
  <c r="E501" i="1"/>
  <c r="C125" i="2" s="1"/>
  <c r="E486" i="1"/>
  <c r="C110" i="2" s="1"/>
  <c r="B348" i="1"/>
  <c r="E491" i="1"/>
  <c r="C115" i="2" s="1"/>
  <c r="E498" i="1"/>
  <c r="C122" i="2" s="1"/>
  <c r="B369" i="1"/>
  <c r="B374" i="1" s="1"/>
  <c r="C374" i="1" s="1"/>
  <c r="E502" i="1"/>
  <c r="C126" i="2" s="1"/>
  <c r="E500" i="1"/>
  <c r="C124" i="2" s="1"/>
  <c r="B370" i="1"/>
  <c r="E494" i="1"/>
  <c r="C118" i="2" s="1"/>
  <c r="E499" i="1"/>
  <c r="C123" i="2" s="1"/>
  <c r="E485" i="1"/>
  <c r="C109" i="2" s="1"/>
  <c r="E489" i="1"/>
  <c r="C113" i="2" s="1"/>
  <c r="E484" i="1"/>
  <c r="C108" i="2" s="1"/>
  <c r="E496" i="1"/>
  <c r="C120" i="2" s="1"/>
  <c r="E293" i="1"/>
  <c r="E497" i="1"/>
  <c r="C121" i="2" s="1"/>
  <c r="E483" i="1"/>
  <c r="C107" i="2" s="1"/>
  <c r="E490" i="1"/>
  <c r="C114" i="2" s="1"/>
  <c r="E488" i="1"/>
  <c r="C112" i="2" s="1"/>
  <c r="E493" i="1"/>
  <c r="C117" i="2" s="1"/>
  <c r="E492" i="1"/>
  <c r="E504" i="1"/>
  <c r="C128" i="2" s="1"/>
  <c r="E503" i="1"/>
  <c r="C127" i="2" s="1"/>
  <c r="C368" i="1"/>
  <c r="C371" i="1"/>
  <c r="C373" i="1"/>
  <c r="C372" i="1"/>
  <c r="C370" i="1"/>
  <c r="C359" i="1"/>
  <c r="C360" i="1" s="1"/>
  <c r="C367" i="1"/>
  <c r="E272" i="1"/>
  <c r="E277" i="1" s="1"/>
  <c r="C369" i="1" l="1"/>
  <c r="E359" i="1"/>
  <c r="D367" i="1"/>
  <c r="B70" i="2" s="1"/>
  <c r="D369" i="1"/>
  <c r="B72" i="2" s="1"/>
  <c r="D372" i="1"/>
  <c r="B75" i="2" s="1"/>
  <c r="D368" i="1"/>
  <c r="B71" i="2" s="1"/>
  <c r="D373" i="1"/>
  <c r="B76" i="2" s="1"/>
  <c r="D370" i="1"/>
  <c r="B73" i="2" s="1"/>
  <c r="D371" i="1"/>
  <c r="B74" i="2" s="1"/>
  <c r="B281" i="1"/>
  <c r="D374" i="1" l="1"/>
  <c r="B308" i="1"/>
  <c r="B59" i="2" s="1"/>
  <c r="C59" i="2"/>
  <c r="B284" i="1"/>
  <c r="B280" i="1"/>
  <c r="B283" i="1"/>
  <c r="B282" i="1"/>
  <c r="C58" i="2" l="1"/>
  <c r="B307" i="1"/>
  <c r="B58" i="2" s="1"/>
  <c r="B285" i="1"/>
  <c r="B310" i="1"/>
  <c r="B61" i="2" s="1"/>
  <c r="C61" i="2"/>
  <c r="B311" i="1"/>
  <c r="B62" i="2" s="1"/>
  <c r="C62" i="2"/>
  <c r="B309" i="1"/>
  <c r="B60" i="2" s="1"/>
  <c r="C60" i="2"/>
  <c r="B3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tc={702D1D19-A33E-BE4D-B99F-139199713421}</author>
    <author>tc={8396B6CD-CA26-2546-8AB1-C635E8DEF476}</author>
    <author>tc={1D1A5EAE-3926-B14F-B6E8-93E56F2FBADE}</author>
  </authors>
  <commentList>
    <comment ref="K51" authorId="0" shapeId="0" xr:uid="{702D1D19-A33E-BE4D-B99F-139199713421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 donne 446... </t>
      </text>
    </comment>
    <comment ref="K221" authorId="1" shapeId="0" xr:uid="{8396B6CD-CA26-2546-8AB1-C635E8DEF47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Note du tableau dans Villiers 2002</t>
      </text>
    </comment>
    <comment ref="L221" authorId="2" shapeId="0" xr:uid="{1D1A5EAE-3926-B14F-B6E8-93E56F2FBAD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Dans villiers 2000</t>
      </text>
    </comment>
  </commentList>
</comments>
</file>

<file path=xl/sharedStrings.xml><?xml version="1.0" encoding="utf-8"?>
<sst xmlns="http://schemas.openxmlformats.org/spreadsheetml/2006/main" count="303" uniqueCount="210">
  <si>
    <t>Estimation de l’armement corsaire à Dunkerque, Saint-Malo et Bayonne (en milliers de lt) Villier 2002, p. 327</t>
  </si>
  <si>
    <t>Dunkerque</t>
  </si>
  <si>
    <t>Saint-Malo</t>
  </si>
  <si>
    <t>Bayonne</t>
  </si>
  <si>
    <t>ratio pour corriger Dunkerque (voir p. 327)</t>
  </si>
  <si>
    <t>ratio pour corriger Bayonne (idem)</t>
  </si>
  <si>
    <t>Autre</t>
  </si>
  <si>
    <t>Donc investissement ?</t>
  </si>
  <si>
    <t>Hypothèse annuelle</t>
  </si>
  <si>
    <t>Armements corsaires pour Atlantique et Manche (p. 328)</t>
  </si>
  <si>
    <t>Rentrées liées à la course</t>
  </si>
  <si>
    <t>Dunkerque (voir p. 332 -- erreur il le compare à 7 300 d’investissement -- note 207 de J. Le May La Guerre de Course...)</t>
  </si>
  <si>
    <t>Donc hypothèse de rentrées brutes</t>
  </si>
  <si>
    <t>Estimation de l’armement corsaire à Dunkerque, Saint-Malo et Bayonne (en milliers de lt) Villier 2002, p. 355</t>
  </si>
  <si>
    <t>Armements (p. 351)</t>
  </si>
  <si>
    <t>Autres</t>
  </si>
  <si>
    <t>somme</t>
  </si>
  <si>
    <t>Ratio</t>
  </si>
  <si>
    <t>Prises et rançons</t>
  </si>
  <si>
    <t>Dunkerque (p. 368)</t>
  </si>
  <si>
    <t>Bayonne (p. 364)</t>
  </si>
  <si>
    <t>Valeur des prises Dunkerque (p. 370)</t>
  </si>
  <si>
    <t>Valeur des rançons  Dunkerque (p. 370)</t>
  </si>
  <si>
    <t>Saint-Malo à partir les prises et rançons (p. 357)</t>
  </si>
  <si>
    <t>Nombre de prises Saint-Malo</t>
  </si>
  <si>
    <t>Nombre de rançons Saint-Malo</t>
  </si>
  <si>
    <t>En utilisant les moyennes annuelles, on passe à un ratio de 1,98</t>
  </si>
  <si>
    <t>En utilisant les moyennes sur la période, 1,6</t>
  </si>
  <si>
    <t>Comme Villiers dit que cela a été une mauvaise guerre, je mets un coefficient rectificatif de -25%</t>
  </si>
  <si>
    <t>Rapporte</t>
  </si>
  <si>
    <t>Estimation prises totales Guerre d’Indépendance Américaine p. 657</t>
  </si>
  <si>
    <t>Course royale, p. 672</t>
  </si>
  <si>
    <t>Investissement en course (p. 665)</t>
  </si>
  <si>
    <t>Le Havre</t>
  </si>
  <si>
    <t>Prises et rançoins (p. 656-657)</t>
  </si>
  <si>
    <t>Donc estimation investissement total</t>
  </si>
  <si>
    <t>Répartition annuelle de la course à Dunkerque</t>
  </si>
  <si>
    <t>Donc hypothèse annuelle de retours course privée</t>
  </si>
  <si>
    <t>Hypothèse annuelle d’investissement</t>
  </si>
  <si>
    <t>Répartition prises de la course du Roi (p. 671)</t>
  </si>
  <si>
    <t>Hypothèse annuelle course du Roi</t>
  </si>
  <si>
    <t>Produit de la course royale (p. 379)</t>
  </si>
  <si>
    <t>La course Royale</t>
  </si>
  <si>
    <t>Villiers ne discute pas de la course royale</t>
  </si>
  <si>
    <t>Norman -- Corsairs of France -- Appendix XXII</t>
  </si>
  <si>
    <t>Roll of English Merchant-Vessels captured by the French during the War</t>
  </si>
  <si>
    <t>Crowhurst par Acerra Meyer "Appendice 1 Marine et Révolution"</t>
  </si>
  <si>
    <t>Nombre d’armements (?)</t>
  </si>
  <si>
    <t>Dukerque guerre d’Amérique : 198 armements (voir Villiers p. 670) pour 19 M d’investissement.</t>
  </si>
  <si>
    <t>Armement moyen :</t>
  </si>
  <si>
    <t>Investissement Villiers / Crowhurst</t>
  </si>
  <si>
    <t>Prises en utilisant le ratio de la guerre d’Amérpque</t>
  </si>
  <si>
    <t xml:space="preserve">Valeur par prise : </t>
  </si>
  <si>
    <t>Prises en utilisant Normann</t>
  </si>
  <si>
    <t>year</t>
  </si>
  <si>
    <t>French investment</t>
  </si>
  <si>
    <t>Part de captures privées</t>
  </si>
  <si>
    <t>Ivestissement en utilisant Normann (que pour course privée)</t>
  </si>
  <si>
    <t>French income</t>
  </si>
  <si>
    <t>Saint-Malo (p. 333 // 2007 : 10-12)</t>
  </si>
  <si>
    <t>Prises Martiniqe</t>
  </si>
  <si>
    <t xml:space="preserve"> Villier 2007 p. 43</t>
  </si>
  <si>
    <t>nombre</t>
  </si>
  <si>
    <t>valeur en livres coloniales</t>
  </si>
  <si>
    <t>Conversion livre tournois / livre coloniales</t>
  </si>
  <si>
    <t>valeur en livres tournois</t>
  </si>
  <si>
    <t>Il annonce 10 M l.t : je mets le résidu en 1748</t>
  </si>
  <si>
    <t>Total</t>
  </si>
  <si>
    <t>GUERRE DE SUCCESSION D’Autriche</t>
  </si>
  <si>
    <t>GUERRE DE HOLLANDE</t>
  </si>
  <si>
    <t>Villiers (2002), p. 123 : pas de chiffres sauf sur Dunkerque</t>
  </si>
  <si>
    <t>De toutes les manières, course contre la Hollande qui ne nous intéresse pas beaucoup</t>
  </si>
  <si>
    <t>Valeur capturée par Dunkerque</t>
  </si>
  <si>
    <t>Villiers 2002 p. 129</t>
  </si>
  <si>
    <t>0-19tx</t>
  </si>
  <si>
    <t>20-49tx</t>
  </si>
  <si>
    <t>50-99tx</t>
  </si>
  <si>
    <t>100-199tx</t>
  </si>
  <si>
    <t>200-399tx</t>
  </si>
  <si>
    <t>400-599tx</t>
  </si>
  <si>
    <t>plus de 600tx</t>
  </si>
  <si>
    <t>Armement à Saint-Malo p. 134</t>
  </si>
  <si>
    <t>Évaluation du coût p. 136</t>
  </si>
  <si>
    <t>Il trouve 29 millions ?</t>
  </si>
  <si>
    <t>Armement à Dunkerque p. 134</t>
  </si>
  <si>
    <t>Nbr armements</t>
  </si>
  <si>
    <t>Valeur totale des armements</t>
  </si>
  <si>
    <t>En prenant en compte qu’on connaît 90% des tonnages (422 sur 381)</t>
  </si>
  <si>
    <t>Total connu</t>
  </si>
  <si>
    <t>En faisant confiance aux 16 M…</t>
  </si>
  <si>
    <t>Armement à Dunkerque Villiers 2007, p. 34-35</t>
  </si>
  <si>
    <t>Il dit 10 M p. 36 ?</t>
  </si>
  <si>
    <t>Donne total de 446…</t>
  </si>
  <si>
    <t>Il trouve 16 M p. 136 ??? C’est bien ce que donne un total de 446…</t>
  </si>
  <si>
    <t>Donc je pense que le 16M est une erreur. 18,7 M est plus juste</t>
  </si>
  <si>
    <t xml:space="preserve">10 M : sans doute une erreur. </t>
  </si>
  <si>
    <t>1695 jugements de bonne prise</t>
  </si>
  <si>
    <t>Autre Manche</t>
  </si>
  <si>
    <t>Atlantique</t>
  </si>
  <si>
    <t>Méditerranée</t>
  </si>
  <si>
    <t>Hors France</t>
  </si>
  <si>
    <t>Donne 745…</t>
  </si>
  <si>
    <t>Villiers 2007 p. 37</t>
  </si>
  <si>
    <t>(dont 22 000 000 pour la vente des prises)</t>
  </si>
  <si>
    <t>Estimation de l’investissement total</t>
  </si>
  <si>
    <t>GUERRE DE LA LIGUE D’AUGSBOURG 1688-1698 -- aussi des captures hollandaises en Manche, espagnole en Méditerranée et Atlantique…</t>
  </si>
  <si>
    <t>donc % Dunkerque et Saint-Malo</t>
  </si>
  <si>
    <t>Soit…</t>
  </si>
  <si>
    <t>Ce qui donne pour le total capturé</t>
  </si>
  <si>
    <t>Donc pour ces deux ports</t>
  </si>
  <si>
    <t>En supposant qu’ils soientt représentatifs (bof)</t>
  </si>
  <si>
    <t>Répartition annuelle</t>
  </si>
  <si>
    <t>Captures royales ? On ne connaît que la valeur du convoi de Smyrne (hollandais) : 30 M de lt</t>
  </si>
  <si>
    <t>Trois autres exploits : raid sur les baleiniers du Spitzberg (1/3 de la flotte hollandaise du coin), convoi anglais des Antilles, prise de Cartagène (espagnole). Impossible à chiffrer.</t>
  </si>
  <si>
    <t>De toutes les manières, sans doute pas sur les britanniques</t>
  </si>
  <si>
    <t>Donc je mets 0 pour tout cela.</t>
  </si>
  <si>
    <t>Villiers (2000)</t>
  </si>
  <si>
    <r>
      <t>VILLIERS, Patrick. </t>
    </r>
    <r>
      <rPr>
        <i/>
        <sz val="11"/>
        <color rgb="FF3E3E3E"/>
        <rFont val="Verdana"/>
        <family val="2"/>
      </rPr>
      <t>Les corsaires du littoral : Dunkerque, Calais, Boulogne, de Philippe II à Louis XIV (1568-1713).</t>
    </r>
    <r>
      <rPr>
        <sz val="11"/>
        <color rgb="FF3E3E3E"/>
        <rFont val="Verdana"/>
        <family val="2"/>
      </rPr>
      <t> Nouvelle édition [en ligne]. Villeneuve d'Ascq : Presses universitaires du Septentrion, 2000 (généré le 16 avril 2024). Disponible sur Internet : &lt;http://books.openedition.org/septentrion/49320&gt;. ISBN : 978-2-7574-2207-6. DOI : https://doi.org/10.4000/books.septentrion.49320.</t>
    </r>
  </si>
  <si>
    <t>Villiers (2002)</t>
  </si>
  <si>
    <t>Marine royale, corsaire et traffic dans l’Atlantique de Louis XIV à Louis XVI</t>
  </si>
  <si>
    <t>Villiers (2012)</t>
  </si>
  <si>
    <t>Villiers (2020)</t>
  </si>
  <si>
    <r>
      <t>VILLIERS, Patrick. </t>
    </r>
    <r>
      <rPr>
        <i/>
        <sz val="11"/>
        <color rgb="FF3E3E3E"/>
        <rFont val="Verdana"/>
        <family val="2"/>
      </rPr>
      <t>Piraterie, flibuste et autres guerres de course dans les conflits européens de l’époque moderne</t>
    </r>
    <r>
      <rPr>
        <sz val="11"/>
        <color rgb="FF3E3E3E"/>
        <rFont val="Verdana"/>
        <family val="2"/>
      </rPr>
      <t> In : </t>
    </r>
    <r>
      <rPr>
        <i/>
        <sz val="11"/>
        <color rgb="FF3E3E3E"/>
        <rFont val="Verdana"/>
        <family val="2"/>
      </rPr>
      <t>La construction du militaire, Volume 3 : Les mots du militaire : dire et se dire militaire en Occident (XV</t>
    </r>
    <r>
      <rPr>
        <i/>
        <vertAlign val="superscript"/>
        <sz val="7.8"/>
        <color rgb="FF3E3E3E"/>
        <rFont val="Verdana"/>
        <family val="2"/>
      </rPr>
      <t>e</t>
    </r>
    <r>
      <rPr>
        <i/>
        <sz val="11"/>
        <color rgb="FF3E3E3E"/>
        <rFont val="Verdana"/>
        <family val="2"/>
      </rPr>
      <t>-XIX</t>
    </r>
    <r>
      <rPr>
        <i/>
        <vertAlign val="superscript"/>
        <sz val="7.8"/>
        <color rgb="FF3E3E3E"/>
        <rFont val="Verdana"/>
        <family val="2"/>
      </rPr>
      <t>e</t>
    </r>
    <r>
      <rPr>
        <i/>
        <sz val="11"/>
        <color rgb="FF3E3E3E"/>
        <rFont val="Verdana"/>
        <family val="2"/>
      </rPr>
      <t> siècle) de la guerre de Cent ans à l’entre-deux-guerres</t>
    </r>
    <r>
      <rPr>
        <sz val="11"/>
        <color rgb="FF3E3E3E"/>
        <rFont val="Verdana"/>
        <family val="2"/>
      </rPr>
      <t> [en ligne]. Paris : Éditions de la Sorbonne, 2020 (généré le 16 avril 2024). Disponible sur Internet : &lt;http://books.openedition.org/psorbonne/91295&gt;. ISBN : 979-10-351-0710-9. DOI : https://doi.org/10.4000/books.psorbonne.91295.</t>
    </r>
  </si>
  <si>
    <t>Villiers (2006)</t>
  </si>
  <si>
    <r>
      <t>.. </t>
    </r>
    <r>
      <rPr>
        <b/>
        <sz val="14"/>
        <color rgb="FF474747"/>
        <rFont val="Arial"/>
        <family val="2"/>
      </rPr>
      <t>Patrick VILLIERS</t>
    </r>
    <r>
      <rPr>
        <sz val="14"/>
        <color rgb="FF474747"/>
        <rFont val="Arial"/>
        <family val="2"/>
      </rPr>
      <t> -</t>
    </r>
    <r>
      <rPr>
        <b/>
        <sz val="14"/>
        <color rgb="FF474747"/>
        <rFont val="Arial"/>
        <family val="2"/>
      </rPr>
      <t>Les ports de la côte d'Opale</t>
    </r>
    <r>
      <rPr>
        <sz val="14"/>
        <color rgb="FF474747"/>
        <rFont val="Arial"/>
        <family val="2"/>
      </rPr>
      <t> : Boulogne , Calais et Dunkerque face à la guerre sur mer sous Louis XIV </t>
    </r>
  </si>
  <si>
    <t>Villiers (2007)</t>
  </si>
  <si>
    <t>Les Corsaires</t>
  </si>
  <si>
    <t>Villiers (1997)</t>
  </si>
  <si>
    <r>
      <t>VILLIERS Patrick, DUTEIL Jean-Pierre, </t>
    </r>
    <r>
      <rPr>
        <i/>
        <sz val="16"/>
        <color rgb="FF323232"/>
        <rFont val="Times New Roman"/>
        <family val="1"/>
      </rPr>
      <t>L'Europe, la mer et les colonies (XVII</t>
    </r>
    <r>
      <rPr>
        <i/>
        <sz val="12"/>
        <color rgb="FF323232"/>
        <rFont val="Times New Roman"/>
        <family val="1"/>
      </rPr>
      <t>e</t>
    </r>
    <r>
      <rPr>
        <i/>
        <sz val="16"/>
        <color rgb="FF323232"/>
        <rFont val="Times New Roman"/>
        <family val="1"/>
      </rPr>
      <t>-XVIII</t>
    </r>
    <r>
      <rPr>
        <i/>
        <sz val="12"/>
        <color rgb="FF323232"/>
        <rFont val="Times New Roman"/>
        <family val="1"/>
      </rPr>
      <t>e</t>
    </r>
    <r>
      <rPr>
        <i/>
        <sz val="16"/>
        <color rgb="FF323232"/>
        <rFont val="Times New Roman"/>
        <family val="1"/>
      </rPr>
      <t> siècle). </t>
    </r>
    <r>
      <rPr>
        <sz val="16"/>
        <color rgb="FF323232"/>
        <rFont val="Times New Roman"/>
        <family val="1"/>
      </rPr>
      <t>Hachette Education, « Carré Histoire », 1997, ISBN : 9782011451965. DOI : 10.3917/hache.villi.1997.01. URL : https://www-cairn-info.proxy.bu.dauphine.fr/leurope-la-mer-et-les-colonies-xviie-xviiie-siecle--9782011451965.htm</t>
    </r>
  </si>
  <si>
    <t>GUERRE DE SUCCESSION D’Espagne</t>
  </si>
  <si>
    <t>Calais</t>
  </si>
  <si>
    <t>Dieppe</t>
  </si>
  <si>
    <t>Cherbourg</t>
  </si>
  <si>
    <t>Morlaix</t>
  </si>
  <si>
    <t>Manche - autres ports</t>
  </si>
  <si>
    <t>Brest</t>
  </si>
  <si>
    <t>Vanne-Port-Louis</t>
  </si>
  <si>
    <t>Nantes</t>
  </si>
  <si>
    <t>Bretagne-autres ports</t>
  </si>
  <si>
    <t>La Rochelle</t>
  </si>
  <si>
    <t>Bordeaux</t>
  </si>
  <si>
    <t>Roussillon-Languedoc</t>
  </si>
  <si>
    <t>Marseille</t>
  </si>
  <si>
    <t>La Ciotat</t>
  </si>
  <si>
    <t>Toulon</t>
  </si>
  <si>
    <t>Provence</t>
  </si>
  <si>
    <t>Antilles</t>
  </si>
  <si>
    <t>Cadix</t>
  </si>
  <si>
    <t>Malaga</t>
  </si>
  <si>
    <t>autre ports</t>
  </si>
  <si>
    <t>Italie</t>
  </si>
  <si>
    <t>Ostende</t>
  </si>
  <si>
    <t>Divers</t>
  </si>
  <si>
    <t>1702-3</t>
  </si>
  <si>
    <t>1712-13</t>
  </si>
  <si>
    <t>LeHavre</t>
  </si>
  <si>
    <t>Terre-Neuve et Canada</t>
  </si>
  <si>
    <t>Villiers (2002), p. 142 et Villiers (2007) p. 39 (manque une ligne)</t>
  </si>
  <si>
    <t>Villiers (2002), p. 143. Valeur des prises et rançons</t>
  </si>
  <si>
    <t>Moyenne</t>
  </si>
  <si>
    <t>Villiers (2002), p. 144 idem 1706</t>
  </si>
  <si>
    <t>Valeur</t>
  </si>
  <si>
    <t>Nombre</t>
  </si>
  <si>
    <t>Vannes-Port-Louis</t>
  </si>
  <si>
    <t>par prise et rançon</t>
  </si>
  <si>
    <t>Caen</t>
  </si>
  <si>
    <t>Rouen</t>
  </si>
  <si>
    <t>Plaisance</t>
  </si>
  <si>
    <t>la Corogne</t>
  </si>
  <si>
    <t>Sainte-Croix</t>
  </si>
  <si>
    <t>Québec</t>
  </si>
  <si>
    <t>Entre 5 et 2</t>
  </si>
  <si>
    <t>Total ?</t>
  </si>
  <si>
    <t>Si année moyenne, sur 12 ans</t>
  </si>
  <si>
    <t>Comme c’est le 10e de l’amiral</t>
  </si>
  <si>
    <t>Presque le chiffre de Delumeau !</t>
  </si>
  <si>
    <t>À part Dunkerque et Saint-Malo, cela ne correspond pas aux chiffres du tableau plus haut</t>
  </si>
  <si>
    <t>Donc, 1706 est un peu mieux qu’une année moyenne (hypothèse de Delumeau)</t>
  </si>
  <si>
    <t>Hypothèse : en proportion du nombre de prises de 1706 ?</t>
  </si>
  <si>
    <t>Un peu moins que Delumeau : c’est normal</t>
  </si>
  <si>
    <t>Guerre de Sept ans</t>
  </si>
  <si>
    <t>En fait, c’est le 10e de l’Amiral ? Donc / par 12,3% (voir haut p. 144)</t>
  </si>
  <si>
    <t>y compris le 10e de l’amiral d’après Villiers 2002, haut p. 144</t>
  </si>
  <si>
    <t>La discussion p. 137 semble indiquer que la course de Saint-Malo n’a pas été rentable pour les investisseurs. Bon, mettons 10% de pertes ?</t>
  </si>
  <si>
    <t>Je ne pars donc pas le l’hypothèse de Malo qui est sans doute optimiste</t>
  </si>
  <si>
    <t>Investissement…</t>
  </si>
  <si>
    <t>Villiers 2002 d’après Annick Martin-Deider donne 17 M pour Saint-Malo p. 145</t>
  </si>
  <si>
    <t>Un peu moins pour Dunkerque p. 147</t>
  </si>
  <si>
    <t>À nuancer ? Voir la discussion paragraphe 152 de Villiers 2000 -- mais pas beaucoup de renseignements sur l’investissement</t>
  </si>
  <si>
    <t>Rien dans Villiers 1997, ni Villiers 2020</t>
  </si>
  <si>
    <r>
      <t>VILLIERS, Patrick. </t>
    </r>
    <r>
      <rPr>
        <i/>
        <sz val="11"/>
        <color rgb="FF3E3E3E"/>
        <rFont val="Verdana"/>
        <family val="2"/>
      </rPr>
      <t>Les corsaires de Boulogne, Calais, Dunkerque et la Tamise (</t>
    </r>
    <r>
      <rPr>
        <i/>
        <sz val="12.95"/>
        <color rgb="FF3E3E3E"/>
        <rFont val="Verdana"/>
        <family val="2"/>
      </rPr>
      <t>xvii</t>
    </r>
    <r>
      <rPr>
        <i/>
        <vertAlign val="superscript"/>
        <sz val="7.8"/>
        <color rgb="FF3E3E3E"/>
        <rFont val="Verdana"/>
        <family val="2"/>
      </rPr>
      <t>e</t>
    </r>
    <r>
      <rPr>
        <i/>
        <sz val="11"/>
        <color rgb="FF3E3E3E"/>
        <rFont val="Verdana"/>
        <family val="2"/>
      </rPr>
      <t>–</t>
    </r>
    <r>
      <rPr>
        <i/>
        <sz val="12.95"/>
        <color rgb="FF3E3E3E"/>
        <rFont val="Verdana"/>
        <family val="2"/>
      </rPr>
      <t>xviii</t>
    </r>
    <r>
      <rPr>
        <i/>
        <vertAlign val="superscript"/>
        <sz val="7.8"/>
        <color rgb="FF3E3E3E"/>
        <rFont val="Verdana"/>
        <family val="2"/>
      </rPr>
      <t>e</t>
    </r>
    <r>
      <rPr>
        <i/>
        <sz val="11"/>
        <color rgb="FF3E3E3E"/>
        <rFont val="Verdana"/>
        <family val="2"/>
      </rPr>
      <t>)</t>
    </r>
    <r>
      <rPr>
        <sz val="11"/>
        <color rgb="FF3E3E3E"/>
        <rFont val="Verdana"/>
        <family val="2"/>
      </rPr>
      <t> In : </t>
    </r>
    <r>
      <rPr>
        <i/>
        <sz val="11"/>
        <color rgb="FF3E3E3E"/>
        <rFont val="Verdana"/>
        <family val="2"/>
      </rPr>
      <t>La traversée France-Angleterre du Moyen Âge à nos jours</t>
    </r>
    <r>
      <rPr>
        <sz val="11"/>
        <color rgb="FF3E3E3E"/>
        <rFont val="Verdana"/>
        <family val="2"/>
      </rPr>
      <t> [en ligne]. Arras : Artois Presses Université, 2012 (généré le 16 avril 2024). Disponible sur Internet : &lt;http://books.openedition.org/apu/487&gt;. ISBN : 978-2-84832-359-6. DOI : https://doi.org/10.4000/books.apu.487. -- Qui’à partir de 1778</t>
    </r>
  </si>
  <si>
    <t>Villiers 2000 dit que le coût d’armement d’un corsaire a augmenté de 10% entre la guerre de la ligue d’Augsbourg et la guerre de succession d’Espagne (paragraphe 128). Donc utilisation des tableaux ?</t>
  </si>
  <si>
    <t>Nombre 1</t>
  </si>
  <si>
    <t>Nombre 2</t>
  </si>
  <si>
    <t>Nombre 3</t>
  </si>
  <si>
    <t>Villiers 2002 p. 145 et 146</t>
  </si>
  <si>
    <t>Évaluation du coût p. 136+10%</t>
  </si>
  <si>
    <t>Donc investissement Malouin</t>
  </si>
  <si>
    <t>Semble très fort % aux retours ?</t>
  </si>
  <si>
    <t xml:space="preserve">Si on admet que c’est représentatif de l’investissement moyen par prise… Total de </t>
  </si>
  <si>
    <t>Course royale ?</t>
  </si>
  <si>
    <t>Villiers 2002 p. 173</t>
  </si>
  <si>
    <t>Pense que cela a été rentable ? Le même taux que la course privée alors ?</t>
  </si>
  <si>
    <t>"Pas plus de 30 M de lt de produit net"</t>
  </si>
  <si>
    <t>Passage du net au brut ?</t>
  </si>
  <si>
    <t>p. 169 Forbais Moscovie</t>
  </si>
  <si>
    <t>p. 163 Saint-Pol</t>
  </si>
  <si>
    <t>p. 172 Duguay-Trouin</t>
  </si>
  <si>
    <t>Mettons 1,5 ?</t>
  </si>
  <si>
    <t>Dont la moitié en 1710 (Dugay-Trouin) et 1712 (Cassard)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</si>
</sst>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10" x14ac:knownFonts="1">
    <font>
      <sz val="12"/>
      <color theme="1"/>
      <name val="Calibri"/>
      <family val="2"/>
      <scheme val="minor"/>
    </font>
    <font>
      <sz val="11"/>
      <color rgb="FF3E3E3E"/>
      <name val="Verdana"/>
      <family val="2"/>
    </font>
    <font>
      <i/>
      <sz val="11"/>
      <color rgb="FF3E3E3E"/>
      <name val="Verdana"/>
      <family val="2"/>
    </font>
    <font>
      <i/>
      <sz val="12.95"/>
      <color rgb="FF3E3E3E"/>
      <name val="Verdana"/>
      <family val="2"/>
    </font>
    <font>
      <i/>
      <vertAlign val="superscript"/>
      <sz val="7.8"/>
      <color rgb="FF3E3E3E"/>
      <name val="Verdana"/>
      <family val="2"/>
    </font>
    <font>
      <sz val="14"/>
      <color rgb="FF474747"/>
      <name val="Arial"/>
      <family val="2"/>
    </font>
    <font>
      <b/>
      <sz val="14"/>
      <color rgb="FF474747"/>
      <name val="Arial"/>
      <family val="2"/>
    </font>
    <font>
      <sz val="16"/>
      <color rgb="FF323232"/>
      <name val="Times New Roman"/>
      <family val="1"/>
    </font>
    <font>
      <i/>
      <sz val="16"/>
      <color rgb="FF323232"/>
      <name val="Times New Roman"/>
      <family val="1"/>
    </font>
    <font>
      <i/>
      <sz val="12"/>
      <color rgb="FF32323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 applyFill="1"/>
    <xf numFmtId="0" fontId="1" fillId="0" borderId="0" xfId="0" applyFont="1"/>
    <xf numFmtId="0" fontId="5" fillId="0" borderId="0" xfId="0" applyFont="1"/>
    <xf numFmtId="0" fontId="7" fillId="0" borderId="0" xfId="0" applyFont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ILLAUME DAUDIN" id="{2F9B96DD-8612-EA43-B1B7-D218C1C35987}" userId="S::guillaume.daudin@dauphine.psl.eu::15dcbe30-cd68-45c5-94ba-64069fedf1cb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1" dT="2024-04-15T14:56:48.99" personId="{2F9B96DD-8612-EA43-B1B7-D218C1C35987}" id="{702D1D19-A33E-BE4D-B99F-139199713421}">
    <text xml:space="preserve">Il donne 446... </text>
  </threadedComment>
  <threadedComment ref="K221" dT="2024-04-16T15:46:24.25" personId="{2F9B96DD-8612-EA43-B1B7-D218C1C35987}" id="{8396B6CD-CA26-2546-8AB1-C635E8DEF476}">
    <text>Note du tableau dans Villiers 2002</text>
  </threadedComment>
  <threadedComment ref="L221" dT="2024-04-16T15:46:07.80" personId="{2F9B96DD-8612-EA43-B1B7-D218C1C35987}" id="{1D1A5EAE-3926-B14F-B6E8-93E56F2FBADE}">
    <text>Dans villiers 2000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2A1-6A8D-9E42-88DE-481B3F912E70}">
  <dimension ref="A1:N504"/>
  <sheetViews>
    <sheetView tabSelected="1" topLeftCell="A121" workbookViewId="0">
      <selection activeCell="B168" sqref="B168"/>
    </sheetView>
  </sheetViews>
  <sheetFormatPr baseColWidth="10" defaultRowHeight="16" x14ac:dyDescent="0.2"/>
  <cols>
    <col min="1" max="1" width="13.83203125" style="1" customWidth="1"/>
    <col min="2" max="2" width="20.83203125" style="1" customWidth="1"/>
    <col min="3" max="3" width="22.83203125" style="1" customWidth="1"/>
    <col min="4" max="4" width="10.83203125" style="1"/>
    <col min="5" max="5" width="11.1640625" style="1" bestFit="1" customWidth="1"/>
    <col min="6" max="16384" width="10.83203125" style="1"/>
  </cols>
  <sheetData>
    <row r="1" spans="1:2" ht="20" x14ac:dyDescent="0.2">
      <c r="A1" s="1" t="s">
        <v>127</v>
      </c>
      <c r="B1" s="9" t="s">
        <v>128</v>
      </c>
    </row>
    <row r="2" spans="1:2" x14ac:dyDescent="0.2">
      <c r="A2" s="1" t="s">
        <v>116</v>
      </c>
      <c r="B2" s="7" t="s">
        <v>117</v>
      </c>
    </row>
    <row r="3" spans="1:2" x14ac:dyDescent="0.2">
      <c r="A3" s="1" t="s">
        <v>118</v>
      </c>
      <c r="B3" s="1" t="s">
        <v>119</v>
      </c>
    </row>
    <row r="4" spans="1:2" ht="18" x14ac:dyDescent="0.2">
      <c r="A4" s="1" t="s">
        <v>123</v>
      </c>
      <c r="B4" s="8" t="s">
        <v>124</v>
      </c>
    </row>
    <row r="5" spans="1:2" ht="18" x14ac:dyDescent="0.2">
      <c r="A5" s="1" t="s">
        <v>125</v>
      </c>
      <c r="B5" s="8" t="s">
        <v>126</v>
      </c>
    </row>
    <row r="6" spans="1:2" ht="17" x14ac:dyDescent="0.2">
      <c r="A6" s="1" t="s">
        <v>120</v>
      </c>
      <c r="B6" s="7" t="s">
        <v>190</v>
      </c>
    </row>
    <row r="7" spans="1:2" x14ac:dyDescent="0.2">
      <c r="A7" s="1" t="s">
        <v>121</v>
      </c>
      <c r="B7" s="7" t="s">
        <v>122</v>
      </c>
    </row>
    <row r="8" spans="1:2" x14ac:dyDescent="0.2">
      <c r="B8" s="7"/>
    </row>
    <row r="9" spans="1:2" x14ac:dyDescent="0.2">
      <c r="B9" s="7"/>
    </row>
    <row r="10" spans="1:2" x14ac:dyDescent="0.2">
      <c r="B10" s="7"/>
    </row>
    <row r="11" spans="1:2" s="10" customFormat="1" x14ac:dyDescent="0.2">
      <c r="A11" s="10" t="s">
        <v>69</v>
      </c>
    </row>
    <row r="12" spans="1:2" x14ac:dyDescent="0.2">
      <c r="A12" s="1" t="s">
        <v>70</v>
      </c>
    </row>
    <row r="13" spans="1:2" x14ac:dyDescent="0.2">
      <c r="A13" s="1" t="s">
        <v>71</v>
      </c>
    </row>
    <row r="16" spans="1:2" s="10" customFormat="1" x14ac:dyDescent="0.2">
      <c r="A16" s="10" t="s">
        <v>105</v>
      </c>
    </row>
    <row r="20" spans="1:11" x14ac:dyDescent="0.2">
      <c r="A20" s="1" t="s">
        <v>81</v>
      </c>
    </row>
    <row r="21" spans="1:11" x14ac:dyDescent="0.2">
      <c r="B21" s="1" t="s">
        <v>74</v>
      </c>
      <c r="C21" s="1" t="s">
        <v>75</v>
      </c>
      <c r="D21" s="1" t="s">
        <v>76</v>
      </c>
      <c r="E21" s="1" t="s">
        <v>77</v>
      </c>
      <c r="F21" s="1" t="s">
        <v>78</v>
      </c>
      <c r="G21" s="1" t="s">
        <v>79</v>
      </c>
      <c r="H21" s="1" t="s">
        <v>80</v>
      </c>
      <c r="J21" s="1" t="s">
        <v>87</v>
      </c>
    </row>
    <row r="22" spans="1:11" x14ac:dyDescent="0.2">
      <c r="A22" s="1">
        <v>1688</v>
      </c>
      <c r="B22" s="1">
        <v>1</v>
      </c>
      <c r="C22" s="1">
        <v>0</v>
      </c>
      <c r="D22" s="1">
        <v>0</v>
      </c>
      <c r="E22" s="1">
        <v>1</v>
      </c>
      <c r="F22" s="1">
        <v>7</v>
      </c>
      <c r="G22" s="1">
        <v>0</v>
      </c>
      <c r="H22" s="1">
        <v>0</v>
      </c>
      <c r="I22" s="1">
        <f>B22*B$36+C22*C$36+D22*D$36+E22*E$36+F22*F$36+G22*G$36+H22*H$36</f>
        <v>704000</v>
      </c>
      <c r="J22" s="6">
        <f>I22*422/381</f>
        <v>779758.53018372704</v>
      </c>
    </row>
    <row r="23" spans="1:11" x14ac:dyDescent="0.2">
      <c r="A23" s="1">
        <v>1689</v>
      </c>
      <c r="B23" s="1">
        <v>0</v>
      </c>
      <c r="C23" s="1">
        <v>1</v>
      </c>
      <c r="D23" s="1">
        <v>3</v>
      </c>
      <c r="E23" s="1">
        <v>4</v>
      </c>
      <c r="F23" s="1">
        <v>19</v>
      </c>
      <c r="G23" s="1">
        <v>1</v>
      </c>
      <c r="H23" s="1">
        <v>0</v>
      </c>
      <c r="I23" s="1">
        <f t="shared" ref="I23:I31" si="0">B23*B$36+C23*C$36+D23*D$36+E23*E$36+F23*F$36+G23*G$36+H23*H$36</f>
        <v>2230000</v>
      </c>
      <c r="J23" s="6">
        <f t="shared" ref="J23:J31" si="1">I23*422/381</f>
        <v>2469973.7532808399</v>
      </c>
    </row>
    <row r="24" spans="1:11" x14ac:dyDescent="0.2">
      <c r="A24" s="1">
        <v>1690</v>
      </c>
      <c r="B24" s="1">
        <v>0</v>
      </c>
      <c r="C24" s="1">
        <v>0</v>
      </c>
      <c r="D24" s="1">
        <v>1</v>
      </c>
      <c r="E24" s="1">
        <v>12</v>
      </c>
      <c r="F24" s="1">
        <v>15</v>
      </c>
      <c r="G24" s="1">
        <v>0</v>
      </c>
      <c r="H24" s="1">
        <v>0</v>
      </c>
      <c r="I24" s="1">
        <f t="shared" si="0"/>
        <v>2230000</v>
      </c>
      <c r="J24" s="6">
        <f t="shared" si="1"/>
        <v>2469973.7532808399</v>
      </c>
    </row>
    <row r="25" spans="1:11" x14ac:dyDescent="0.2">
      <c r="A25" s="1">
        <v>1691</v>
      </c>
      <c r="B25" s="1">
        <v>0</v>
      </c>
      <c r="C25" s="1">
        <v>2</v>
      </c>
      <c r="D25" s="1">
        <v>1</v>
      </c>
      <c r="E25" s="1">
        <v>15</v>
      </c>
      <c r="F25" s="1">
        <v>15</v>
      </c>
      <c r="G25" s="1">
        <v>0</v>
      </c>
      <c r="H25" s="1">
        <v>0</v>
      </c>
      <c r="I25" s="1">
        <f t="shared" si="0"/>
        <v>2460000</v>
      </c>
      <c r="J25" s="6">
        <f t="shared" si="1"/>
        <v>2724724.4094488188</v>
      </c>
    </row>
    <row r="26" spans="1:11" x14ac:dyDescent="0.2">
      <c r="A26" s="1">
        <v>1692</v>
      </c>
      <c r="B26" s="1">
        <v>1</v>
      </c>
      <c r="C26" s="1">
        <v>4</v>
      </c>
      <c r="D26" s="1">
        <v>6</v>
      </c>
      <c r="E26" s="1">
        <v>22</v>
      </c>
      <c r="F26" s="1">
        <v>15</v>
      </c>
      <c r="G26" s="1">
        <v>1</v>
      </c>
      <c r="H26" s="1">
        <v>1</v>
      </c>
      <c r="I26" s="1">
        <f t="shared" si="0"/>
        <v>3424000</v>
      </c>
      <c r="J26" s="6">
        <f t="shared" si="1"/>
        <v>3792461.9422572181</v>
      </c>
    </row>
    <row r="27" spans="1:11" x14ac:dyDescent="0.2">
      <c r="A27" s="1">
        <v>1693</v>
      </c>
      <c r="B27" s="1">
        <v>0</v>
      </c>
      <c r="C27" s="1">
        <v>4</v>
      </c>
      <c r="D27" s="1">
        <v>12</v>
      </c>
      <c r="E27" s="1">
        <v>11</v>
      </c>
      <c r="F27" s="1">
        <v>11</v>
      </c>
      <c r="G27" s="1">
        <v>3</v>
      </c>
      <c r="H27" s="1">
        <v>0</v>
      </c>
      <c r="I27" s="1">
        <f t="shared" si="0"/>
        <v>2610000</v>
      </c>
      <c r="J27" s="6">
        <f t="shared" si="1"/>
        <v>2890866.1417322834</v>
      </c>
    </row>
    <row r="28" spans="1:11" x14ac:dyDescent="0.2">
      <c r="A28" s="1">
        <v>1694</v>
      </c>
      <c r="B28" s="1">
        <v>2</v>
      </c>
      <c r="C28" s="1">
        <v>3</v>
      </c>
      <c r="D28" s="1">
        <v>13</v>
      </c>
      <c r="E28" s="1">
        <v>9</v>
      </c>
      <c r="F28" s="1">
        <v>11</v>
      </c>
      <c r="G28" s="1">
        <v>4</v>
      </c>
      <c r="H28" s="1">
        <v>2</v>
      </c>
      <c r="I28" s="1">
        <f t="shared" si="0"/>
        <v>2898000</v>
      </c>
      <c r="J28" s="6">
        <f t="shared" si="1"/>
        <v>3209858.2677165354</v>
      </c>
    </row>
    <row r="29" spans="1:11" x14ac:dyDescent="0.2">
      <c r="A29" s="1">
        <v>1695</v>
      </c>
      <c r="B29" s="1">
        <v>2</v>
      </c>
      <c r="C29" s="1">
        <v>10</v>
      </c>
      <c r="D29" s="1">
        <v>14</v>
      </c>
      <c r="E29" s="1">
        <v>20</v>
      </c>
      <c r="F29" s="1">
        <v>10</v>
      </c>
      <c r="G29" s="1">
        <v>1</v>
      </c>
      <c r="H29" s="1">
        <v>2</v>
      </c>
      <c r="I29" s="1">
        <f t="shared" si="0"/>
        <v>3358000</v>
      </c>
      <c r="J29" s="6">
        <f t="shared" si="1"/>
        <v>3719359.5800524936</v>
      </c>
    </row>
    <row r="30" spans="1:11" x14ac:dyDescent="0.2">
      <c r="A30" s="1">
        <v>1696</v>
      </c>
      <c r="B30" s="1">
        <v>2</v>
      </c>
      <c r="C30" s="1">
        <v>3</v>
      </c>
      <c r="D30" s="1">
        <v>15</v>
      </c>
      <c r="E30" s="1">
        <v>16</v>
      </c>
      <c r="F30" s="1">
        <v>6</v>
      </c>
      <c r="G30" s="1">
        <v>5</v>
      </c>
      <c r="H30" s="1">
        <v>1</v>
      </c>
      <c r="I30" s="1">
        <f t="shared" si="0"/>
        <v>2988000</v>
      </c>
      <c r="J30" s="6">
        <f t="shared" si="1"/>
        <v>3309543.307086614</v>
      </c>
    </row>
    <row r="31" spans="1:11" x14ac:dyDescent="0.2">
      <c r="A31" s="1">
        <v>1697</v>
      </c>
      <c r="B31" s="1">
        <v>1</v>
      </c>
      <c r="C31" s="1">
        <v>3</v>
      </c>
      <c r="D31" s="1">
        <v>11</v>
      </c>
      <c r="E31" s="1">
        <v>12</v>
      </c>
      <c r="F31" s="1">
        <v>12</v>
      </c>
      <c r="G31" s="1">
        <v>2</v>
      </c>
      <c r="H31" s="1">
        <v>0</v>
      </c>
      <c r="I31" s="1">
        <f t="shared" si="0"/>
        <v>2614000</v>
      </c>
      <c r="J31" s="6">
        <f t="shared" si="1"/>
        <v>2895296.5879265093</v>
      </c>
    </row>
    <row r="32" spans="1:11" x14ac:dyDescent="0.2">
      <c r="I32" s="1">
        <f>SUM(I22:I31)</f>
        <v>25516000</v>
      </c>
      <c r="J32" s="1">
        <f>SUM(J22:J31)</f>
        <v>28261816.272965882</v>
      </c>
      <c r="K32" s="1" t="s">
        <v>83</v>
      </c>
    </row>
    <row r="34" spans="1:14" x14ac:dyDescent="0.2">
      <c r="A34" s="1" t="s">
        <v>82</v>
      </c>
    </row>
    <row r="35" spans="1:14" x14ac:dyDescent="0.2">
      <c r="B35" s="1" t="s">
        <v>74</v>
      </c>
      <c r="C35" s="1" t="s">
        <v>75</v>
      </c>
      <c r="D35" s="1" t="s">
        <v>76</v>
      </c>
      <c r="E35" s="1" t="s">
        <v>77</v>
      </c>
      <c r="F35" s="1" t="s">
        <v>78</v>
      </c>
      <c r="G35" s="1" t="s">
        <v>79</v>
      </c>
      <c r="H35" s="1" t="s">
        <v>80</v>
      </c>
    </row>
    <row r="36" spans="1:14" x14ac:dyDescent="0.2">
      <c r="B36" s="1">
        <v>4000</v>
      </c>
      <c r="C36" s="1">
        <v>10000</v>
      </c>
      <c r="D36" s="1">
        <v>40000</v>
      </c>
      <c r="E36" s="1">
        <v>70000</v>
      </c>
      <c r="F36" s="1">
        <v>90000</v>
      </c>
      <c r="G36" s="1">
        <v>110000</v>
      </c>
      <c r="H36" s="1">
        <v>140000</v>
      </c>
    </row>
    <row r="39" spans="1:14" x14ac:dyDescent="0.2">
      <c r="A39" s="1" t="s">
        <v>84</v>
      </c>
    </row>
    <row r="40" spans="1:14" x14ac:dyDescent="0.2">
      <c r="B40" s="1" t="s">
        <v>74</v>
      </c>
      <c r="C40" s="1" t="s">
        <v>75</v>
      </c>
      <c r="D40" s="1" t="s">
        <v>76</v>
      </c>
      <c r="E40" s="1" t="s">
        <v>77</v>
      </c>
      <c r="F40" s="1" t="s">
        <v>78</v>
      </c>
      <c r="G40" s="1" t="s">
        <v>79</v>
      </c>
      <c r="H40" s="1" t="s">
        <v>80</v>
      </c>
      <c r="I40" s="1" t="s">
        <v>88</v>
      </c>
      <c r="K40" s="1" t="s">
        <v>85</v>
      </c>
      <c r="L40" s="1" t="s">
        <v>86</v>
      </c>
    </row>
    <row r="41" spans="1:14" x14ac:dyDescent="0.2">
      <c r="A41" s="1">
        <v>1688</v>
      </c>
      <c r="B41" s="1">
        <v>4</v>
      </c>
      <c r="C41" s="1">
        <v>8</v>
      </c>
      <c r="D41" s="1">
        <v>4</v>
      </c>
      <c r="E41" s="1">
        <v>4</v>
      </c>
      <c r="F41" s="1">
        <v>1</v>
      </c>
      <c r="G41" s="1">
        <v>0</v>
      </c>
      <c r="H41" s="1">
        <v>0</v>
      </c>
      <c r="I41" s="1">
        <f>SUM(B41:H41)</f>
        <v>21</v>
      </c>
      <c r="J41" s="1">
        <f>B41*B$36+C41*C$36+D41*D$36+E41*E$36+F41*F$36+G41*G$36+H41*H$36</f>
        <v>626000</v>
      </c>
      <c r="K41" s="1">
        <v>29</v>
      </c>
      <c r="L41" s="6">
        <f>K41/I41*J41</f>
        <v>864476.19047619042</v>
      </c>
      <c r="N41" s="1">
        <f>L41*16000000/L$51</f>
        <v>738147.77144962759</v>
      </c>
    </row>
    <row r="42" spans="1:14" x14ac:dyDescent="0.2">
      <c r="A42" s="1">
        <v>1689</v>
      </c>
      <c r="B42" s="1">
        <v>2</v>
      </c>
      <c r="C42" s="1">
        <v>11</v>
      </c>
      <c r="D42" s="1">
        <v>6</v>
      </c>
      <c r="E42" s="1">
        <v>3</v>
      </c>
      <c r="F42" s="1">
        <v>5</v>
      </c>
      <c r="G42" s="1">
        <v>0</v>
      </c>
      <c r="H42" s="1">
        <v>0</v>
      </c>
      <c r="I42" s="1">
        <f t="shared" ref="I42:I50" si="2">SUM(B42:H42)</f>
        <v>27</v>
      </c>
      <c r="J42" s="1">
        <f>B42*B$36+C42*C$36+D42*D$36+E42*E$36+F42*F$36+G42*G$36+H42*H$36</f>
        <v>1018000</v>
      </c>
      <c r="K42" s="1">
        <v>31</v>
      </c>
      <c r="L42" s="6">
        <f t="shared" ref="L42:L50" si="3">K42/I42*J42</f>
        <v>1168814.8148148148</v>
      </c>
      <c r="N42" s="1">
        <f t="shared" ref="N42:N50" si="4">L42*16000000/L$51</f>
        <v>998012.50780269701</v>
      </c>
    </row>
    <row r="43" spans="1:14" x14ac:dyDescent="0.2">
      <c r="A43" s="1">
        <v>1690</v>
      </c>
      <c r="B43" s="1">
        <v>3</v>
      </c>
      <c r="C43" s="1">
        <v>10</v>
      </c>
      <c r="D43" s="1">
        <v>13</v>
      </c>
      <c r="E43" s="1">
        <v>6</v>
      </c>
      <c r="F43" s="1">
        <v>3</v>
      </c>
      <c r="G43" s="1">
        <v>0</v>
      </c>
      <c r="H43" s="1">
        <v>0</v>
      </c>
      <c r="I43" s="1">
        <f t="shared" si="2"/>
        <v>35</v>
      </c>
      <c r="J43" s="1">
        <f>B43*B$36+C43*C$36+D43*D$36+E43*E$36+F43*F$36+G43*G$36+H43*H$36</f>
        <v>1322000</v>
      </c>
      <c r="K43" s="1">
        <v>50</v>
      </c>
      <c r="L43" s="6">
        <f t="shared" si="3"/>
        <v>1888571.4285714286</v>
      </c>
      <c r="N43" s="1">
        <f t="shared" si="4"/>
        <v>1612588.9950254618</v>
      </c>
    </row>
    <row r="44" spans="1:14" x14ac:dyDescent="0.2">
      <c r="A44" s="1">
        <v>1691</v>
      </c>
      <c r="B44" s="1">
        <v>0</v>
      </c>
      <c r="C44" s="1">
        <v>2</v>
      </c>
      <c r="D44" s="1">
        <v>7</v>
      </c>
      <c r="E44" s="1">
        <v>2</v>
      </c>
      <c r="F44" s="1">
        <v>1</v>
      </c>
      <c r="G44" s="1">
        <v>0</v>
      </c>
      <c r="H44" s="1">
        <v>0</v>
      </c>
      <c r="I44" s="1">
        <f t="shared" si="2"/>
        <v>12</v>
      </c>
      <c r="J44" s="1">
        <f>B44*B$36+C44*C$36+D44*D$36+E44*E$36+F44*F$36+G44*G$36+H44*H$36</f>
        <v>530000</v>
      </c>
      <c r="K44" s="1">
        <v>31</v>
      </c>
      <c r="L44" s="6">
        <f t="shared" si="3"/>
        <v>1369166.6666666667</v>
      </c>
      <c r="N44" s="1">
        <f t="shared" si="4"/>
        <v>1169086.3610557134</v>
      </c>
    </row>
    <row r="45" spans="1:14" x14ac:dyDescent="0.2">
      <c r="A45" s="1">
        <v>1692</v>
      </c>
      <c r="B45" s="1">
        <v>0</v>
      </c>
      <c r="C45" s="1">
        <v>2</v>
      </c>
      <c r="D45" s="1">
        <v>3</v>
      </c>
      <c r="E45" s="1">
        <v>2</v>
      </c>
      <c r="F45" s="1">
        <v>2</v>
      </c>
      <c r="G45" s="1">
        <v>0</v>
      </c>
      <c r="H45" s="1">
        <v>0</v>
      </c>
      <c r="I45" s="1">
        <f t="shared" si="2"/>
        <v>9</v>
      </c>
      <c r="J45" s="1">
        <f t="shared" ref="J45:J50" si="5">B45*B$36+C45*C$36+D44*D$36+E45*E$36+F45*F$36+G45*G$36+H45*H$36</f>
        <v>620000</v>
      </c>
      <c r="K45" s="1">
        <v>37</v>
      </c>
      <c r="L45" s="6">
        <f t="shared" si="3"/>
        <v>2548888.8888888885</v>
      </c>
      <c r="N45" s="1">
        <f t="shared" si="4"/>
        <v>2176412.3451100071</v>
      </c>
    </row>
    <row r="46" spans="1:14" x14ac:dyDescent="0.2">
      <c r="A46" s="1">
        <v>1693</v>
      </c>
      <c r="B46" s="1">
        <v>2</v>
      </c>
      <c r="C46" s="1">
        <v>9</v>
      </c>
      <c r="D46" s="1">
        <v>1</v>
      </c>
      <c r="E46" s="1">
        <v>7</v>
      </c>
      <c r="F46" s="1">
        <v>2</v>
      </c>
      <c r="G46" s="1">
        <v>0</v>
      </c>
      <c r="H46" s="1">
        <v>0</v>
      </c>
      <c r="I46" s="1">
        <f t="shared" si="2"/>
        <v>21</v>
      </c>
      <c r="J46" s="1">
        <f t="shared" si="5"/>
        <v>888000</v>
      </c>
      <c r="K46" s="1">
        <v>89</v>
      </c>
      <c r="L46" s="6">
        <f t="shared" si="3"/>
        <v>3763428.5714285714</v>
      </c>
      <c r="N46" s="1">
        <f t="shared" si="4"/>
        <v>3213467.8127799365</v>
      </c>
    </row>
    <row r="47" spans="1:14" x14ac:dyDescent="0.2">
      <c r="A47" s="1">
        <v>1694</v>
      </c>
      <c r="B47" s="1">
        <v>6</v>
      </c>
      <c r="C47" s="1">
        <v>12</v>
      </c>
      <c r="D47" s="1">
        <v>10</v>
      </c>
      <c r="E47" s="1">
        <v>10</v>
      </c>
      <c r="F47" s="1">
        <v>5</v>
      </c>
      <c r="G47" s="1">
        <v>0</v>
      </c>
      <c r="H47" s="1">
        <v>0</v>
      </c>
      <c r="I47" s="1">
        <f t="shared" si="2"/>
        <v>43</v>
      </c>
      <c r="J47" s="1">
        <f t="shared" si="5"/>
        <v>1334000</v>
      </c>
      <c r="K47" s="1">
        <v>89</v>
      </c>
      <c r="L47" s="6">
        <f t="shared" si="3"/>
        <v>2761069.7674418604</v>
      </c>
      <c r="N47" s="1">
        <f t="shared" si="4"/>
        <v>2357586.6150014964</v>
      </c>
    </row>
    <row r="48" spans="1:14" x14ac:dyDescent="0.2">
      <c r="A48" s="1">
        <v>1695</v>
      </c>
      <c r="B48" s="1">
        <v>8</v>
      </c>
      <c r="C48" s="1">
        <v>11</v>
      </c>
      <c r="D48" s="1">
        <v>8</v>
      </c>
      <c r="E48" s="1">
        <v>7</v>
      </c>
      <c r="F48" s="1">
        <v>2</v>
      </c>
      <c r="G48" s="1">
        <v>0</v>
      </c>
      <c r="H48" s="1">
        <v>0</v>
      </c>
      <c r="I48" s="1">
        <f t="shared" si="2"/>
        <v>36</v>
      </c>
      <c r="J48" s="1">
        <f t="shared" si="5"/>
        <v>1212000</v>
      </c>
      <c r="K48" s="1">
        <v>62</v>
      </c>
      <c r="L48" s="6">
        <f t="shared" si="3"/>
        <v>2087333.3333333335</v>
      </c>
      <c r="N48" s="1">
        <f t="shared" si="4"/>
        <v>1782305.2447792762</v>
      </c>
    </row>
    <row r="49" spans="1:14" x14ac:dyDescent="0.2">
      <c r="A49" s="1">
        <v>1696</v>
      </c>
      <c r="B49" s="1">
        <v>13</v>
      </c>
      <c r="C49" s="1">
        <v>29</v>
      </c>
      <c r="D49" s="1">
        <v>25</v>
      </c>
      <c r="E49" s="1">
        <v>8</v>
      </c>
      <c r="F49" s="1">
        <v>6</v>
      </c>
      <c r="G49" s="1">
        <v>1</v>
      </c>
      <c r="H49" s="1">
        <v>0</v>
      </c>
      <c r="I49" s="1">
        <f t="shared" si="2"/>
        <v>82</v>
      </c>
      <c r="J49" s="1">
        <f t="shared" si="5"/>
        <v>1872000</v>
      </c>
      <c r="K49" s="1">
        <v>84</v>
      </c>
      <c r="L49" s="6">
        <f t="shared" si="3"/>
        <v>1917658.5365853659</v>
      </c>
      <c r="N49" s="1">
        <f t="shared" si="4"/>
        <v>1637425.5193796786</v>
      </c>
    </row>
    <row r="50" spans="1:14" x14ac:dyDescent="0.2">
      <c r="A50" s="1">
        <v>1697</v>
      </c>
      <c r="B50" s="1">
        <v>2</v>
      </c>
      <c r="C50" s="1">
        <v>7</v>
      </c>
      <c r="D50" s="1">
        <v>8</v>
      </c>
      <c r="E50" s="1">
        <v>3</v>
      </c>
      <c r="F50" s="1">
        <v>1</v>
      </c>
      <c r="G50" s="1">
        <v>1</v>
      </c>
      <c r="H50" s="1">
        <v>0</v>
      </c>
      <c r="I50" s="1">
        <f t="shared" si="2"/>
        <v>22</v>
      </c>
      <c r="J50" s="1">
        <f t="shared" si="5"/>
        <v>1488000</v>
      </c>
      <c r="K50" s="1">
        <v>27</v>
      </c>
      <c r="L50" s="6">
        <f t="shared" si="3"/>
        <v>1826181.8181818181</v>
      </c>
      <c r="N50" s="1">
        <f t="shared" si="4"/>
        <v>1559316.5597888895</v>
      </c>
    </row>
    <row r="51" spans="1:14" x14ac:dyDescent="0.2">
      <c r="B51" s="1">
        <f>SUM(B41:B50)</f>
        <v>40</v>
      </c>
      <c r="C51" s="1">
        <f t="shared" ref="C51:I51" si="6">SUM(C41:C50)</f>
        <v>101</v>
      </c>
      <c r="D51" s="1">
        <f t="shared" si="6"/>
        <v>85</v>
      </c>
      <c r="E51" s="1">
        <f t="shared" si="6"/>
        <v>52</v>
      </c>
      <c r="F51" s="1">
        <f t="shared" si="6"/>
        <v>28</v>
      </c>
      <c r="G51" s="1">
        <f t="shared" si="6"/>
        <v>2</v>
      </c>
      <c r="H51" s="1">
        <f t="shared" si="6"/>
        <v>0</v>
      </c>
      <c r="I51" s="1">
        <f t="shared" si="6"/>
        <v>308</v>
      </c>
      <c r="J51" s="1">
        <f>SUM(J41:J50)</f>
        <v>10910000</v>
      </c>
      <c r="K51" s="1">
        <f>SUM(K41:K50)</f>
        <v>529</v>
      </c>
      <c r="L51" s="1">
        <f>K51/I51*J51</f>
        <v>18738279.220779222</v>
      </c>
      <c r="N51" s="1">
        <f>SUM(N41:N50)</f>
        <v>17244349.732172783</v>
      </c>
    </row>
    <row r="52" spans="1:14" x14ac:dyDescent="0.2">
      <c r="K52" s="1" t="s">
        <v>92</v>
      </c>
      <c r="L52" s="1" t="s">
        <v>93</v>
      </c>
      <c r="N52" s="1" t="s">
        <v>89</v>
      </c>
    </row>
    <row r="53" spans="1:14" x14ac:dyDescent="0.2">
      <c r="K53" s="1" t="s">
        <v>94</v>
      </c>
    </row>
    <row r="54" spans="1:14" x14ac:dyDescent="0.2">
      <c r="A54" s="1" t="s">
        <v>90</v>
      </c>
    </row>
    <row r="55" spans="1:14" x14ac:dyDescent="0.2">
      <c r="B55" s="1" t="s">
        <v>74</v>
      </c>
      <c r="C55" s="1" t="s">
        <v>75</v>
      </c>
      <c r="D55" s="1" t="s">
        <v>76</v>
      </c>
      <c r="E55" s="1" t="s">
        <v>77</v>
      </c>
      <c r="F55" s="1" t="s">
        <v>78</v>
      </c>
      <c r="G55" s="1" t="s">
        <v>79</v>
      </c>
      <c r="H55" s="1" t="s">
        <v>80</v>
      </c>
      <c r="I55" s="1" t="s">
        <v>88</v>
      </c>
      <c r="K55" s="1" t="s">
        <v>85</v>
      </c>
      <c r="L55" s="1" t="s">
        <v>86</v>
      </c>
    </row>
    <row r="56" spans="1:14" x14ac:dyDescent="0.2">
      <c r="A56" s="1">
        <v>1688</v>
      </c>
      <c r="B56" s="1">
        <v>4</v>
      </c>
      <c r="C56" s="1">
        <v>13</v>
      </c>
      <c r="D56" s="1">
        <v>5</v>
      </c>
      <c r="E56" s="1">
        <v>4</v>
      </c>
      <c r="F56" s="1">
        <v>3</v>
      </c>
      <c r="G56" s="1">
        <v>0</v>
      </c>
      <c r="H56" s="1">
        <v>0</v>
      </c>
      <c r="I56" s="1">
        <f>SUM(B56:H56)</f>
        <v>29</v>
      </c>
      <c r="J56" s="1">
        <f>B56*B$36+C56*C$36+D56*D$36+E56*E$36+F56*F$36+G56*G$36+H56*H$36</f>
        <v>896000</v>
      </c>
      <c r="K56" s="1">
        <v>30</v>
      </c>
      <c r="L56" s="1">
        <f>K56/I56*J56</f>
        <v>926896.55172413797</v>
      </c>
      <c r="N56" s="1">
        <f>L56*16000000/L$51</f>
        <v>791446.46383220539</v>
      </c>
    </row>
    <row r="57" spans="1:14" x14ac:dyDescent="0.2">
      <c r="A57" s="1">
        <v>1689</v>
      </c>
      <c r="B57" s="1">
        <v>10</v>
      </c>
      <c r="C57" s="1">
        <v>14</v>
      </c>
      <c r="D57" s="1">
        <v>6</v>
      </c>
      <c r="E57" s="1">
        <v>4</v>
      </c>
      <c r="F57" s="1">
        <v>1</v>
      </c>
      <c r="G57" s="1">
        <v>0</v>
      </c>
      <c r="H57" s="1">
        <v>0</v>
      </c>
      <c r="I57" s="1">
        <f t="shared" ref="I57:I64" si="7">SUM(B57:H57)</f>
        <v>35</v>
      </c>
      <c r="J57" s="1">
        <f>B57*B$36+C57*C$36+D57*D$36+E57*E$36+F57*F$36+G57*G$36+H57*H$36</f>
        <v>790000</v>
      </c>
      <c r="K57" s="1">
        <v>51</v>
      </c>
      <c r="L57" s="1">
        <f t="shared" ref="L57:L65" si="8">K57/I57*J57</f>
        <v>1151142.857142857</v>
      </c>
      <c r="N57" s="1">
        <f t="shared" ref="N57:N65" si="9">L57*16000000/L$51</f>
        <v>982923.00468344695</v>
      </c>
    </row>
    <row r="58" spans="1:14" x14ac:dyDescent="0.2">
      <c r="A58" s="1">
        <v>1690</v>
      </c>
      <c r="B58" s="1">
        <v>2</v>
      </c>
      <c r="C58" s="1">
        <v>12</v>
      </c>
      <c r="D58" s="1">
        <v>13</v>
      </c>
      <c r="E58" s="1">
        <v>6</v>
      </c>
      <c r="F58" s="1">
        <v>3</v>
      </c>
      <c r="G58" s="1">
        <v>0</v>
      </c>
      <c r="H58" s="1">
        <v>0</v>
      </c>
      <c r="I58" s="1">
        <f t="shared" si="7"/>
        <v>36</v>
      </c>
      <c r="J58" s="1">
        <f>B58*B$36+C58*C$36+D58*D$36+E58*E$36+F58*F$36+G58*G$36+H58*H$36</f>
        <v>1338000</v>
      </c>
      <c r="K58" s="1">
        <v>57</v>
      </c>
      <c r="L58" s="1">
        <f t="shared" si="8"/>
        <v>2118500</v>
      </c>
      <c r="N58" s="1">
        <f t="shared" si="9"/>
        <v>1808917.4358343484</v>
      </c>
    </row>
    <row r="59" spans="1:14" x14ac:dyDescent="0.2">
      <c r="A59" s="1">
        <v>1691</v>
      </c>
      <c r="B59" s="1">
        <v>0</v>
      </c>
      <c r="C59" s="1">
        <v>7</v>
      </c>
      <c r="D59" s="1">
        <v>7</v>
      </c>
      <c r="E59" s="1">
        <v>2</v>
      </c>
      <c r="F59" s="1">
        <v>1</v>
      </c>
      <c r="G59" s="1">
        <v>0</v>
      </c>
      <c r="H59" s="1">
        <v>0</v>
      </c>
      <c r="I59" s="1">
        <f t="shared" si="7"/>
        <v>17</v>
      </c>
      <c r="J59" s="1">
        <f>B59*B$36+C59*C$36+D59*D$36+E59*E$36+F59*F$36+G59*G$36+H59*H$36</f>
        <v>580000</v>
      </c>
      <c r="K59" s="1">
        <v>34</v>
      </c>
      <c r="L59" s="1">
        <f t="shared" si="8"/>
        <v>1160000</v>
      </c>
      <c r="N59" s="1">
        <f t="shared" si="9"/>
        <v>990485.82750429271</v>
      </c>
    </row>
    <row r="60" spans="1:14" x14ac:dyDescent="0.2">
      <c r="A60" s="1">
        <v>1692</v>
      </c>
      <c r="B60" s="1">
        <v>0</v>
      </c>
      <c r="C60" s="1">
        <v>2</v>
      </c>
      <c r="D60" s="1">
        <v>5</v>
      </c>
      <c r="E60" s="1">
        <v>4</v>
      </c>
      <c r="F60" s="1">
        <v>3</v>
      </c>
      <c r="G60" s="1">
        <v>0</v>
      </c>
      <c r="H60" s="1">
        <v>0</v>
      </c>
      <c r="I60" s="1">
        <f t="shared" si="7"/>
        <v>14</v>
      </c>
      <c r="J60" s="1">
        <f t="shared" ref="J60:J65" si="10">B60*B$36+C60*C$36+D59*D$36+E60*E$36+F60*F$36+G60*G$36+H60*H$36</f>
        <v>850000</v>
      </c>
      <c r="K60" s="1">
        <v>37</v>
      </c>
      <c r="L60" s="1">
        <f t="shared" si="8"/>
        <v>2246428.5714285714</v>
      </c>
      <c r="N60" s="1">
        <f t="shared" si="9"/>
        <v>1918151.433190271</v>
      </c>
    </row>
    <row r="61" spans="1:14" x14ac:dyDescent="0.2">
      <c r="A61" s="1">
        <v>1693</v>
      </c>
      <c r="B61" s="1">
        <v>2</v>
      </c>
      <c r="C61" s="1">
        <v>9</v>
      </c>
      <c r="D61" s="1">
        <v>8</v>
      </c>
      <c r="E61" s="1">
        <v>9</v>
      </c>
      <c r="F61" s="1">
        <v>4</v>
      </c>
      <c r="G61" s="1">
        <v>0</v>
      </c>
      <c r="H61" s="1">
        <v>0</v>
      </c>
      <c r="I61" s="1">
        <f t="shared" si="7"/>
        <v>32</v>
      </c>
      <c r="J61" s="1">
        <f t="shared" si="10"/>
        <v>1288000</v>
      </c>
      <c r="K61" s="1">
        <v>75</v>
      </c>
      <c r="L61" s="1">
        <f t="shared" si="8"/>
        <v>3018750</v>
      </c>
      <c r="N61" s="1">
        <f t="shared" si="9"/>
        <v>2577611.2860160205</v>
      </c>
    </row>
    <row r="62" spans="1:14" x14ac:dyDescent="0.2">
      <c r="A62" s="1">
        <v>1694</v>
      </c>
      <c r="B62" s="1">
        <v>4</v>
      </c>
      <c r="C62" s="1">
        <v>10</v>
      </c>
      <c r="D62" s="1">
        <v>17</v>
      </c>
      <c r="E62" s="1">
        <v>14</v>
      </c>
      <c r="F62" s="1">
        <v>6</v>
      </c>
      <c r="G62" s="1">
        <v>0</v>
      </c>
      <c r="H62" s="1">
        <v>0</v>
      </c>
      <c r="I62" s="1">
        <f t="shared" si="7"/>
        <v>51</v>
      </c>
      <c r="J62" s="1">
        <f t="shared" si="10"/>
        <v>1956000</v>
      </c>
      <c r="K62" s="1">
        <v>93</v>
      </c>
      <c r="L62" s="1">
        <f t="shared" si="8"/>
        <v>3566823.5294117648</v>
      </c>
      <c r="N62" s="1">
        <f t="shared" si="9"/>
        <v>3045593.2371475808</v>
      </c>
    </row>
    <row r="63" spans="1:14" x14ac:dyDescent="0.2">
      <c r="A63" s="1">
        <v>1695</v>
      </c>
      <c r="B63" s="1">
        <v>7</v>
      </c>
      <c r="C63" s="1">
        <v>16</v>
      </c>
      <c r="D63" s="1">
        <v>12</v>
      </c>
      <c r="E63" s="1">
        <v>9</v>
      </c>
      <c r="F63" s="1">
        <v>2</v>
      </c>
      <c r="G63" s="1">
        <v>0</v>
      </c>
      <c r="H63" s="1">
        <v>0</v>
      </c>
      <c r="I63" s="1">
        <f t="shared" si="7"/>
        <v>46</v>
      </c>
      <c r="J63" s="1">
        <f t="shared" si="10"/>
        <v>1678000</v>
      </c>
      <c r="K63" s="1">
        <v>61</v>
      </c>
      <c r="L63" s="1">
        <f t="shared" si="8"/>
        <v>2225173.913043478</v>
      </c>
      <c r="N63" s="1">
        <f t="shared" si="9"/>
        <v>1900002.7798291675</v>
      </c>
    </row>
    <row r="64" spans="1:14" x14ac:dyDescent="0.2">
      <c r="A64" s="1">
        <v>1696</v>
      </c>
      <c r="B64" s="1">
        <v>13</v>
      </c>
      <c r="C64" s="1">
        <v>30</v>
      </c>
      <c r="D64" s="1">
        <v>26</v>
      </c>
      <c r="E64" s="1">
        <v>8</v>
      </c>
      <c r="F64" s="1">
        <v>8</v>
      </c>
      <c r="G64" s="1">
        <v>1</v>
      </c>
      <c r="H64" s="1">
        <v>0</v>
      </c>
      <c r="I64" s="1">
        <f t="shared" si="7"/>
        <v>86</v>
      </c>
      <c r="J64" s="1">
        <f t="shared" si="10"/>
        <v>2222000</v>
      </c>
      <c r="K64" s="1">
        <v>89</v>
      </c>
      <c r="L64" s="1">
        <f t="shared" si="8"/>
        <v>2299511.6279069767</v>
      </c>
      <c r="N64" s="1">
        <f t="shared" si="9"/>
        <v>1963477.308295849</v>
      </c>
    </row>
    <row r="65" spans="1:14" x14ac:dyDescent="0.2">
      <c r="A65" s="1">
        <v>1697</v>
      </c>
      <c r="B65" s="1">
        <v>2</v>
      </c>
      <c r="C65" s="1">
        <v>8</v>
      </c>
      <c r="D65" s="1">
        <v>12</v>
      </c>
      <c r="E65" s="1">
        <v>4</v>
      </c>
      <c r="F65" s="1">
        <v>1</v>
      </c>
      <c r="G65" s="1">
        <v>1</v>
      </c>
      <c r="H65" s="1">
        <v>0</v>
      </c>
      <c r="I65" s="1">
        <f>SUM(B65:H65)</f>
        <v>28</v>
      </c>
      <c r="J65" s="1">
        <f t="shared" si="10"/>
        <v>1608000</v>
      </c>
      <c r="K65" s="1">
        <v>34</v>
      </c>
      <c r="L65" s="1">
        <f t="shared" si="8"/>
        <v>1952571.4285714284</v>
      </c>
      <c r="N65" s="1">
        <f t="shared" si="9"/>
        <v>1667236.4889567329</v>
      </c>
    </row>
    <row r="66" spans="1:14" x14ac:dyDescent="0.2">
      <c r="B66" s="1">
        <f>SUM(B56:B65)</f>
        <v>44</v>
      </c>
      <c r="C66" s="1">
        <f t="shared" ref="C66" si="11">SUM(C56:C65)</f>
        <v>121</v>
      </c>
      <c r="D66" s="1">
        <f t="shared" ref="D66" si="12">SUM(D56:D65)</f>
        <v>111</v>
      </c>
      <c r="E66" s="1">
        <f t="shared" ref="E66" si="13">SUM(E56:E65)</f>
        <v>64</v>
      </c>
      <c r="F66" s="1">
        <f t="shared" ref="F66" si="14">SUM(F56:F65)</f>
        <v>32</v>
      </c>
      <c r="G66" s="1">
        <f t="shared" ref="G66" si="15">SUM(G56:G65)</f>
        <v>2</v>
      </c>
      <c r="H66" s="1">
        <f t="shared" ref="H66" si="16">SUM(H56:H65)</f>
        <v>0</v>
      </c>
      <c r="I66" s="1">
        <f t="shared" ref="I66" si="17">SUM(I56:I65)</f>
        <v>374</v>
      </c>
      <c r="J66" s="1">
        <f>SUM(J56:J65)</f>
        <v>13206000</v>
      </c>
      <c r="K66" s="1">
        <f>SUM(K56:K65)</f>
        <v>561</v>
      </c>
      <c r="L66" s="1">
        <f>SUM(L56:L65)</f>
        <v>20665798.479229216</v>
      </c>
      <c r="N66" s="1">
        <f>SUM(N56:N65)</f>
        <v>17645845.265289918</v>
      </c>
    </row>
    <row r="67" spans="1:14" x14ac:dyDescent="0.2">
      <c r="L67" s="1" t="s">
        <v>91</v>
      </c>
      <c r="N67" s="1" t="s">
        <v>89</v>
      </c>
    </row>
    <row r="68" spans="1:14" x14ac:dyDescent="0.2">
      <c r="L68" s="1" t="s">
        <v>95</v>
      </c>
    </row>
    <row r="69" spans="1:14" x14ac:dyDescent="0.2">
      <c r="A69" s="1" t="s">
        <v>102</v>
      </c>
    </row>
    <row r="70" spans="1:14" x14ac:dyDescent="0.2">
      <c r="A70" s="1" t="s">
        <v>96</v>
      </c>
    </row>
    <row r="71" spans="1:14" x14ac:dyDescent="0.2">
      <c r="A71" s="1" t="s">
        <v>1</v>
      </c>
      <c r="B71" s="1">
        <v>299</v>
      </c>
    </row>
    <row r="72" spans="1:14" x14ac:dyDescent="0.2">
      <c r="A72" s="1" t="s">
        <v>2</v>
      </c>
      <c r="B72" s="1">
        <v>83</v>
      </c>
    </row>
    <row r="73" spans="1:14" x14ac:dyDescent="0.2">
      <c r="A73" s="1" t="s">
        <v>97</v>
      </c>
      <c r="B73" s="1">
        <f>493-B71-B72</f>
        <v>111</v>
      </c>
    </row>
    <row r="74" spans="1:14" x14ac:dyDescent="0.2">
      <c r="A74" s="1" t="s">
        <v>98</v>
      </c>
      <c r="B74" s="1">
        <v>181</v>
      </c>
    </row>
    <row r="75" spans="1:14" x14ac:dyDescent="0.2">
      <c r="A75" s="1" t="s">
        <v>99</v>
      </c>
      <c r="B75" s="1">
        <v>51</v>
      </c>
    </row>
    <row r="76" spans="1:14" x14ac:dyDescent="0.2">
      <c r="A76" s="1" t="s">
        <v>100</v>
      </c>
      <c r="B76" s="1">
        <v>21</v>
      </c>
    </row>
    <row r="77" spans="1:14" x14ac:dyDescent="0.2">
      <c r="B77" s="1">
        <f>SUM(B71:B76)</f>
        <v>746</v>
      </c>
      <c r="C77" s="1" t="s">
        <v>101</v>
      </c>
      <c r="D77" s="1" t="s">
        <v>106</v>
      </c>
      <c r="G77" s="5">
        <f>(B71+B72)/B77</f>
        <v>0.51206434316353888</v>
      </c>
    </row>
    <row r="79" spans="1:14" x14ac:dyDescent="0.2">
      <c r="A79" s="1" t="s">
        <v>104</v>
      </c>
    </row>
    <row r="80" spans="1:14" x14ac:dyDescent="0.2">
      <c r="A80" s="1">
        <v>1688</v>
      </c>
      <c r="B80" s="3">
        <f>(J22+L41)/G$77/1000</f>
        <v>3210.9924125976399</v>
      </c>
    </row>
    <row r="81" spans="1:12" x14ac:dyDescent="0.2">
      <c r="A81" s="1">
        <v>1689</v>
      </c>
      <c r="B81" s="3">
        <f t="shared" ref="B81:B89" si="18">(J23+L42)/G$77/1000</f>
        <v>7106.1158947627182</v>
      </c>
    </row>
    <row r="82" spans="1:12" x14ac:dyDescent="0.2">
      <c r="A82" s="1">
        <v>1690</v>
      </c>
      <c r="B82" s="3">
        <f t="shared" si="18"/>
        <v>8511.7138891669947</v>
      </c>
    </row>
    <row r="83" spans="1:12" x14ac:dyDescent="0.2">
      <c r="A83" s="1">
        <v>1691</v>
      </c>
      <c r="B83" s="3">
        <f t="shared" si="18"/>
        <v>7994.8762900056336</v>
      </c>
    </row>
    <row r="84" spans="1:12" x14ac:dyDescent="0.2">
      <c r="A84" s="1">
        <v>1692</v>
      </c>
      <c r="B84" s="3">
        <f t="shared" si="18"/>
        <v>12383.894555065433</v>
      </c>
    </row>
    <row r="85" spans="1:12" x14ac:dyDescent="0.2">
      <c r="A85" s="1">
        <v>1693</v>
      </c>
      <c r="B85" s="3">
        <f t="shared" si="18"/>
        <v>12995.036272298423</v>
      </c>
    </row>
    <row r="86" spans="1:12" x14ac:dyDescent="0.2">
      <c r="A86" s="1">
        <v>1694</v>
      </c>
      <c r="B86" s="3">
        <f t="shared" si="18"/>
        <v>11660.503440387862</v>
      </c>
    </row>
    <row r="87" spans="1:12" x14ac:dyDescent="0.2">
      <c r="A87" s="1">
        <v>1695</v>
      </c>
      <c r="B87" s="3">
        <f t="shared" si="18"/>
        <v>11339.772024570229</v>
      </c>
    </row>
    <row r="88" spans="1:12" x14ac:dyDescent="0.2">
      <c r="A88" s="1">
        <v>1696</v>
      </c>
      <c r="B88" s="3">
        <f t="shared" si="18"/>
        <v>10208.095747066222</v>
      </c>
    </row>
    <row r="89" spans="1:12" x14ac:dyDescent="0.2">
      <c r="A89" s="1">
        <v>1697</v>
      </c>
      <c r="B89" s="3">
        <f t="shared" si="18"/>
        <v>9220.4787721382509</v>
      </c>
    </row>
    <row r="90" spans="1:12" x14ac:dyDescent="0.2">
      <c r="B90" s="1">
        <f>SUM(B80:B89)</f>
        <v>94631.479298059392</v>
      </c>
    </row>
    <row r="92" spans="1:12" x14ac:dyDescent="0.2">
      <c r="A92" s="1" t="s">
        <v>72</v>
      </c>
      <c r="C92" s="1">
        <v>58500000</v>
      </c>
      <c r="D92" s="1" t="s">
        <v>103</v>
      </c>
      <c r="H92" s="1" t="s">
        <v>73</v>
      </c>
    </row>
    <row r="93" spans="1:12" x14ac:dyDescent="0.2">
      <c r="A93" s="1">
        <v>22000000</v>
      </c>
      <c r="B93" s="1">
        <f>A93/0.877</f>
        <v>25085518.814139109</v>
      </c>
      <c r="C93" s="1" t="s">
        <v>182</v>
      </c>
    </row>
    <row r="95" spans="1:12" x14ac:dyDescent="0.2">
      <c r="A95" s="1" t="s">
        <v>183</v>
      </c>
      <c r="J95" s="1" t="s">
        <v>107</v>
      </c>
      <c r="L95" s="1">
        <f>0.9*J32</f>
        <v>25435634.645669293</v>
      </c>
    </row>
    <row r="96" spans="1:12" x14ac:dyDescent="0.2">
      <c r="A96" s="1" t="s">
        <v>108</v>
      </c>
      <c r="L96" s="1">
        <f>B93/22000000*L95</f>
        <v>29003004.156977531</v>
      </c>
    </row>
    <row r="97" spans="1:5" x14ac:dyDescent="0.2">
      <c r="A97" s="1" t="s">
        <v>109</v>
      </c>
      <c r="E97" s="1">
        <f>C92+L96</f>
        <v>87503004.156977534</v>
      </c>
    </row>
    <row r="98" spans="1:5" x14ac:dyDescent="0.2">
      <c r="A98" s="1" t="s">
        <v>110</v>
      </c>
      <c r="E98" s="1">
        <f>E97/G77</f>
        <v>170882830.10760534</v>
      </c>
    </row>
    <row r="99" spans="1:5" x14ac:dyDescent="0.2">
      <c r="A99" s="1" t="s">
        <v>111</v>
      </c>
    </row>
    <row r="101" spans="1:5" x14ac:dyDescent="0.2">
      <c r="A101" s="1">
        <v>1688</v>
      </c>
      <c r="B101" s="3">
        <f t="shared" ref="B101:B110" si="19">B80*E$98/B$90/1000</f>
        <v>5798.3186460658508</v>
      </c>
    </row>
    <row r="102" spans="1:5" x14ac:dyDescent="0.2">
      <c r="A102" s="1">
        <v>1689</v>
      </c>
      <c r="B102" s="3">
        <f t="shared" si="19"/>
        <v>12832.021692749689</v>
      </c>
    </row>
    <row r="103" spans="1:5" x14ac:dyDescent="0.2">
      <c r="A103" s="1">
        <v>1690</v>
      </c>
      <c r="B103" s="3">
        <f t="shared" si="19"/>
        <v>15370.210518064847</v>
      </c>
    </row>
    <row r="104" spans="1:5" x14ac:dyDescent="0.2">
      <c r="A104" s="1">
        <v>1691</v>
      </c>
      <c r="B104" s="3">
        <f t="shared" si="19"/>
        <v>14436.919901603727</v>
      </c>
    </row>
    <row r="105" spans="1:5" x14ac:dyDescent="0.2">
      <c r="A105" s="1">
        <v>1692</v>
      </c>
      <c r="B105" s="3">
        <f t="shared" si="19"/>
        <v>22362.484080571085</v>
      </c>
    </row>
    <row r="106" spans="1:5" x14ac:dyDescent="0.2">
      <c r="A106" s="1">
        <v>1693</v>
      </c>
      <c r="B106" s="3">
        <f t="shared" si="19"/>
        <v>23466.066387560728</v>
      </c>
    </row>
    <row r="107" spans="1:5" x14ac:dyDescent="0.2">
      <c r="A107" s="1">
        <v>1694</v>
      </c>
      <c r="B107" s="3">
        <f t="shared" si="19"/>
        <v>21056.205008662571</v>
      </c>
    </row>
    <row r="108" spans="1:5" x14ac:dyDescent="0.2">
      <c r="A108" s="1">
        <v>1695</v>
      </c>
      <c r="B108" s="3">
        <f t="shared" si="19"/>
        <v>20477.037352763313</v>
      </c>
    </row>
    <row r="109" spans="1:5" x14ac:dyDescent="0.2">
      <c r="A109" s="1">
        <v>1696</v>
      </c>
      <c r="B109" s="3">
        <f t="shared" si="19"/>
        <v>18433.488562234255</v>
      </c>
    </row>
    <row r="110" spans="1:5" x14ac:dyDescent="0.2">
      <c r="A110" s="1">
        <v>1697</v>
      </c>
      <c r="B110" s="3">
        <f t="shared" si="19"/>
        <v>16650.077957329297</v>
      </c>
      <c r="C110" s="1" t="s">
        <v>184</v>
      </c>
    </row>
    <row r="112" spans="1:5" x14ac:dyDescent="0.2">
      <c r="A112" s="1" t="s">
        <v>112</v>
      </c>
    </row>
    <row r="113" spans="1:12" x14ac:dyDescent="0.2">
      <c r="A113" s="1" t="s">
        <v>113</v>
      </c>
    </row>
    <row r="114" spans="1:12" x14ac:dyDescent="0.2">
      <c r="A114" s="1" t="s">
        <v>114</v>
      </c>
    </row>
    <row r="115" spans="1:12" x14ac:dyDescent="0.2">
      <c r="A115" s="1" t="s">
        <v>115</v>
      </c>
    </row>
    <row r="117" spans="1:12" s="10" customFormat="1" x14ac:dyDescent="0.2">
      <c r="A117" s="10" t="s">
        <v>129</v>
      </c>
    </row>
    <row r="119" spans="1:12" x14ac:dyDescent="0.2">
      <c r="A119" s="1" t="s">
        <v>18</v>
      </c>
      <c r="B119" s="1" t="s">
        <v>153</v>
      </c>
      <c r="C119" s="1">
        <v>1704</v>
      </c>
      <c r="D119" s="1">
        <v>1705</v>
      </c>
      <c r="E119" s="1">
        <v>1706</v>
      </c>
      <c r="F119" s="1">
        <v>1707</v>
      </c>
      <c r="G119" s="1">
        <v>1708</v>
      </c>
      <c r="H119" s="1">
        <v>1709</v>
      </c>
      <c r="I119" s="1">
        <v>1710</v>
      </c>
      <c r="J119" s="1">
        <v>1711</v>
      </c>
      <c r="K119" s="1" t="s">
        <v>154</v>
      </c>
      <c r="L119" s="1" t="s">
        <v>67</v>
      </c>
    </row>
    <row r="120" spans="1:12" x14ac:dyDescent="0.2">
      <c r="A120" s="1" t="s">
        <v>1</v>
      </c>
      <c r="B120" s="1">
        <v>179</v>
      </c>
      <c r="C120" s="1">
        <v>125</v>
      </c>
      <c r="D120" s="1">
        <v>145</v>
      </c>
      <c r="E120" s="1">
        <v>155</v>
      </c>
      <c r="F120" s="1">
        <v>245</v>
      </c>
      <c r="G120" s="1">
        <v>176</v>
      </c>
      <c r="H120" s="1">
        <v>200</v>
      </c>
      <c r="I120" s="1">
        <v>148</v>
      </c>
      <c r="J120" s="1">
        <v>158</v>
      </c>
      <c r="K120" s="1">
        <v>95</v>
      </c>
      <c r="L120" s="1">
        <f>SUM(B120:K120)</f>
        <v>1626</v>
      </c>
    </row>
    <row r="121" spans="1:12" x14ac:dyDescent="0.2">
      <c r="A121" s="1" t="s">
        <v>130</v>
      </c>
      <c r="B121" s="1">
        <v>110</v>
      </c>
      <c r="C121" s="1">
        <v>72</v>
      </c>
      <c r="D121" s="1">
        <v>90</v>
      </c>
      <c r="E121" s="1">
        <v>53</v>
      </c>
      <c r="F121" s="1">
        <v>127</v>
      </c>
      <c r="G121" s="1">
        <v>145</v>
      </c>
      <c r="H121" s="1">
        <v>190</v>
      </c>
      <c r="I121" s="1">
        <v>163</v>
      </c>
      <c r="J121" s="1">
        <v>174</v>
      </c>
      <c r="K121" s="1">
        <v>174</v>
      </c>
      <c r="L121" s="1">
        <f>SUM(B121:K121)</f>
        <v>1298</v>
      </c>
    </row>
    <row r="122" spans="1:12" x14ac:dyDescent="0.2">
      <c r="A122" s="1" t="s">
        <v>131</v>
      </c>
      <c r="B122" s="1">
        <v>14</v>
      </c>
      <c r="C122" s="1">
        <v>3</v>
      </c>
      <c r="D122" s="1">
        <v>13</v>
      </c>
      <c r="E122" s="1">
        <v>2</v>
      </c>
      <c r="F122" s="1">
        <v>11</v>
      </c>
      <c r="G122" s="1">
        <v>5</v>
      </c>
      <c r="H122" s="1">
        <v>13</v>
      </c>
      <c r="I122" s="1">
        <v>2</v>
      </c>
      <c r="J122" s="1">
        <v>8</v>
      </c>
      <c r="K122" s="1">
        <v>4</v>
      </c>
      <c r="L122" s="1">
        <f>SUM(B122:K122)</f>
        <v>75</v>
      </c>
    </row>
    <row r="123" spans="1:12" x14ac:dyDescent="0.2">
      <c r="A123" s="1" t="s">
        <v>155</v>
      </c>
      <c r="B123" s="1">
        <v>7</v>
      </c>
      <c r="C123" s="1">
        <v>15</v>
      </c>
      <c r="D123" s="1">
        <v>12</v>
      </c>
      <c r="E123" s="1">
        <v>14</v>
      </c>
      <c r="F123" s="1">
        <v>9</v>
      </c>
      <c r="G123" s="1">
        <v>13</v>
      </c>
      <c r="H123" s="1">
        <v>20</v>
      </c>
      <c r="I123" s="1">
        <v>12</v>
      </c>
      <c r="J123" s="1">
        <v>15</v>
      </c>
      <c r="K123" s="1">
        <v>7</v>
      </c>
      <c r="L123" s="1">
        <f>SUM(B123:K123)</f>
        <v>124</v>
      </c>
    </row>
    <row r="124" spans="1:12" x14ac:dyDescent="0.2">
      <c r="A124" s="1" t="s">
        <v>132</v>
      </c>
      <c r="B124" s="1">
        <v>10</v>
      </c>
      <c r="C124" s="1">
        <v>9</v>
      </c>
      <c r="D124" s="1">
        <v>2</v>
      </c>
      <c r="E124" s="1">
        <v>9</v>
      </c>
      <c r="F124" s="1">
        <v>4</v>
      </c>
      <c r="G124" s="1">
        <v>8</v>
      </c>
      <c r="H124" s="1">
        <v>19</v>
      </c>
      <c r="I124" s="1">
        <v>5</v>
      </c>
      <c r="J124" s="1">
        <v>6</v>
      </c>
      <c r="K124" s="1">
        <v>8</v>
      </c>
      <c r="L124" s="1">
        <f>SUM(B124:K124)</f>
        <v>80</v>
      </c>
    </row>
    <row r="125" spans="1:12" x14ac:dyDescent="0.2">
      <c r="A125" s="1" t="s">
        <v>2</v>
      </c>
      <c r="B125" s="1">
        <v>93</v>
      </c>
      <c r="C125" s="1">
        <v>17</v>
      </c>
      <c r="D125" s="1">
        <v>92</v>
      </c>
      <c r="E125" s="1">
        <v>70</v>
      </c>
      <c r="F125" s="1">
        <v>52</v>
      </c>
      <c r="G125" s="1">
        <v>57</v>
      </c>
      <c r="H125" s="1">
        <v>39</v>
      </c>
      <c r="I125" s="1">
        <v>40</v>
      </c>
      <c r="J125" s="1">
        <v>44</v>
      </c>
      <c r="K125" s="1">
        <v>24</v>
      </c>
      <c r="L125" s="1">
        <f t="shared" ref="L125:L147" si="20">SUM(B125:K125)</f>
        <v>528</v>
      </c>
    </row>
    <row r="126" spans="1:12" x14ac:dyDescent="0.2">
      <c r="A126" s="1" t="s">
        <v>133</v>
      </c>
      <c r="B126" s="1">
        <v>42</v>
      </c>
      <c r="C126" s="1">
        <v>42</v>
      </c>
      <c r="D126" s="1">
        <v>98</v>
      </c>
      <c r="E126" s="1">
        <v>16</v>
      </c>
      <c r="F126" s="1">
        <v>25</v>
      </c>
      <c r="G126" s="1">
        <v>13</v>
      </c>
      <c r="H126" s="1">
        <v>26</v>
      </c>
      <c r="I126" s="1">
        <v>15</v>
      </c>
      <c r="J126" s="1">
        <v>25</v>
      </c>
      <c r="K126" s="1">
        <v>17</v>
      </c>
      <c r="L126" s="1">
        <f t="shared" si="20"/>
        <v>319</v>
      </c>
    </row>
    <row r="127" spans="1:12" x14ac:dyDescent="0.2">
      <c r="A127" s="1" t="s">
        <v>134</v>
      </c>
      <c r="B127" s="1">
        <v>14</v>
      </c>
      <c r="C127" s="1">
        <v>10</v>
      </c>
      <c r="D127" s="1">
        <v>20</v>
      </c>
      <c r="E127" s="1">
        <v>15</v>
      </c>
      <c r="F127" s="1">
        <v>8</v>
      </c>
      <c r="G127" s="1">
        <v>3</v>
      </c>
      <c r="H127" s="1">
        <v>6</v>
      </c>
      <c r="I127" s="1">
        <v>13</v>
      </c>
      <c r="J127" s="1">
        <v>12</v>
      </c>
      <c r="K127" s="1">
        <v>13</v>
      </c>
      <c r="L127" s="1">
        <f t="shared" si="20"/>
        <v>114</v>
      </c>
    </row>
    <row r="128" spans="1:12" x14ac:dyDescent="0.2">
      <c r="A128" s="1" t="s">
        <v>135</v>
      </c>
      <c r="B128" s="1">
        <v>42</v>
      </c>
      <c r="C128" s="1">
        <v>10</v>
      </c>
      <c r="D128" s="1">
        <v>79</v>
      </c>
      <c r="E128" s="1">
        <v>80</v>
      </c>
      <c r="F128" s="1">
        <v>84</v>
      </c>
      <c r="G128" s="1">
        <v>62</v>
      </c>
      <c r="H128" s="1">
        <v>70</v>
      </c>
      <c r="I128" s="1">
        <v>42</v>
      </c>
      <c r="J128" s="1">
        <v>48</v>
      </c>
      <c r="K128" s="1">
        <v>73</v>
      </c>
      <c r="L128" s="1">
        <f t="shared" si="20"/>
        <v>590</v>
      </c>
    </row>
    <row r="129" spans="1:12" x14ac:dyDescent="0.2">
      <c r="A129" s="1" t="s">
        <v>136</v>
      </c>
      <c r="B129" s="1">
        <v>21</v>
      </c>
      <c r="C129" s="1">
        <v>10</v>
      </c>
      <c r="D129" s="1">
        <v>12</v>
      </c>
      <c r="E129" s="1">
        <v>26</v>
      </c>
      <c r="F129" s="1">
        <v>12</v>
      </c>
      <c r="G129" s="1">
        <v>6</v>
      </c>
      <c r="H129" s="1">
        <v>7</v>
      </c>
      <c r="I129" s="1">
        <v>20</v>
      </c>
      <c r="J129" s="1">
        <v>4</v>
      </c>
      <c r="K129" s="1">
        <v>15</v>
      </c>
      <c r="L129" s="1">
        <f t="shared" si="20"/>
        <v>133</v>
      </c>
    </row>
    <row r="130" spans="1:12" x14ac:dyDescent="0.2">
      <c r="A130" s="1" t="s">
        <v>137</v>
      </c>
      <c r="B130" s="1">
        <v>13</v>
      </c>
      <c r="C130" s="1">
        <v>24</v>
      </c>
      <c r="D130" s="1">
        <v>6</v>
      </c>
      <c r="E130" s="1">
        <v>7</v>
      </c>
      <c r="F130" s="1">
        <v>4</v>
      </c>
      <c r="G130" s="1">
        <v>6</v>
      </c>
      <c r="H130" s="1">
        <v>2</v>
      </c>
      <c r="I130" s="1">
        <v>11</v>
      </c>
      <c r="J130" s="1">
        <v>17</v>
      </c>
      <c r="K130" s="1">
        <v>12</v>
      </c>
      <c r="L130" s="1">
        <f t="shared" si="20"/>
        <v>102</v>
      </c>
    </row>
    <row r="131" spans="1:12" x14ac:dyDescent="0.2">
      <c r="A131" s="1" t="s">
        <v>138</v>
      </c>
      <c r="B131" s="1">
        <v>0</v>
      </c>
      <c r="C131" s="1">
        <v>11</v>
      </c>
      <c r="D131" s="1">
        <v>6</v>
      </c>
      <c r="E131" s="1">
        <v>0</v>
      </c>
      <c r="F131" s="1">
        <v>9</v>
      </c>
      <c r="G131" s="1">
        <v>1</v>
      </c>
      <c r="H131" s="1">
        <v>6</v>
      </c>
      <c r="I131" s="1">
        <v>4</v>
      </c>
      <c r="J131" s="1">
        <v>6</v>
      </c>
      <c r="K131" s="1">
        <v>6</v>
      </c>
      <c r="L131" s="1">
        <f t="shared" si="20"/>
        <v>49</v>
      </c>
    </row>
    <row r="132" spans="1:12" x14ac:dyDescent="0.2">
      <c r="A132" s="1" t="s">
        <v>139</v>
      </c>
      <c r="B132" s="1">
        <v>9</v>
      </c>
      <c r="C132" s="1">
        <v>2</v>
      </c>
      <c r="D132" s="1">
        <v>5</v>
      </c>
      <c r="E132" s="1">
        <v>11</v>
      </c>
      <c r="F132" s="1">
        <v>5</v>
      </c>
      <c r="G132" s="1">
        <v>2</v>
      </c>
      <c r="H132" s="1">
        <v>10</v>
      </c>
      <c r="I132" s="1">
        <v>11</v>
      </c>
      <c r="J132" s="1">
        <v>5</v>
      </c>
      <c r="K132" s="1">
        <v>39</v>
      </c>
      <c r="L132" s="1">
        <f t="shared" si="20"/>
        <v>99</v>
      </c>
    </row>
    <row r="133" spans="1:12" x14ac:dyDescent="0.2">
      <c r="A133" s="1" t="s">
        <v>140</v>
      </c>
      <c r="B133" s="1">
        <v>1</v>
      </c>
      <c r="C133" s="1">
        <v>1</v>
      </c>
      <c r="D133" s="1">
        <v>0</v>
      </c>
      <c r="E133" s="1">
        <v>2</v>
      </c>
      <c r="F133" s="1">
        <v>2</v>
      </c>
      <c r="G133" s="1">
        <v>1</v>
      </c>
      <c r="H133" s="1">
        <v>1</v>
      </c>
      <c r="I133" s="1">
        <v>4</v>
      </c>
      <c r="J133" s="1">
        <v>2</v>
      </c>
      <c r="K133" s="1">
        <v>3</v>
      </c>
      <c r="L133" s="1">
        <f t="shared" si="20"/>
        <v>17</v>
      </c>
    </row>
    <row r="134" spans="1:12" x14ac:dyDescent="0.2">
      <c r="A134" s="1" t="s">
        <v>3</v>
      </c>
      <c r="B134" s="1">
        <v>7</v>
      </c>
      <c r="C134" s="1">
        <v>24</v>
      </c>
      <c r="D134" s="1">
        <v>6</v>
      </c>
      <c r="E134" s="1">
        <v>7</v>
      </c>
      <c r="F134" s="1">
        <v>4</v>
      </c>
      <c r="G134" s="1">
        <v>6</v>
      </c>
      <c r="H134" s="1">
        <v>2</v>
      </c>
      <c r="I134" s="1">
        <v>11</v>
      </c>
      <c r="J134" s="1">
        <v>17</v>
      </c>
      <c r="K134" s="1">
        <v>12</v>
      </c>
      <c r="L134" s="1">
        <f t="shared" si="20"/>
        <v>96</v>
      </c>
    </row>
    <row r="135" spans="1:12" x14ac:dyDescent="0.2">
      <c r="A135" s="1" t="s">
        <v>141</v>
      </c>
      <c r="B135" s="1">
        <v>3</v>
      </c>
      <c r="C135" s="1">
        <v>1</v>
      </c>
      <c r="D135" s="1">
        <v>7</v>
      </c>
      <c r="E135" s="1">
        <v>0</v>
      </c>
      <c r="F135" s="1">
        <v>3</v>
      </c>
      <c r="G135" s="1">
        <v>2</v>
      </c>
      <c r="H135" s="1">
        <v>11</v>
      </c>
      <c r="I135" s="1">
        <v>11</v>
      </c>
      <c r="J135" s="1">
        <v>3</v>
      </c>
      <c r="K135" s="1">
        <v>10</v>
      </c>
      <c r="L135" s="1">
        <f t="shared" si="20"/>
        <v>51</v>
      </c>
    </row>
    <row r="136" spans="1:12" x14ac:dyDescent="0.2">
      <c r="A136" s="1" t="s">
        <v>142</v>
      </c>
      <c r="B136" s="1">
        <v>3</v>
      </c>
      <c r="C136" s="1">
        <v>1</v>
      </c>
      <c r="D136" s="1">
        <v>1</v>
      </c>
      <c r="E136" s="1">
        <v>12</v>
      </c>
      <c r="F136" s="1">
        <v>5</v>
      </c>
      <c r="G136" s="1">
        <v>10</v>
      </c>
      <c r="H136" s="1">
        <v>17</v>
      </c>
      <c r="I136" s="1">
        <v>21</v>
      </c>
      <c r="J136" s="1">
        <v>38</v>
      </c>
      <c r="K136" s="1">
        <v>36</v>
      </c>
      <c r="L136" s="1">
        <f t="shared" si="20"/>
        <v>144</v>
      </c>
    </row>
    <row r="137" spans="1:12" x14ac:dyDescent="0.2">
      <c r="A137" s="1" t="s">
        <v>143</v>
      </c>
      <c r="B137" s="1">
        <v>0</v>
      </c>
      <c r="C137" s="1">
        <v>0</v>
      </c>
      <c r="D137" s="1">
        <v>3</v>
      </c>
      <c r="E137" s="1">
        <v>0</v>
      </c>
      <c r="F137" s="1">
        <v>1</v>
      </c>
      <c r="G137" s="1">
        <v>3</v>
      </c>
      <c r="H137" s="1">
        <v>10</v>
      </c>
      <c r="I137" s="1">
        <v>7</v>
      </c>
      <c r="J137" s="1">
        <v>21</v>
      </c>
      <c r="K137" s="1">
        <v>10</v>
      </c>
      <c r="L137" s="1">
        <f t="shared" si="20"/>
        <v>55</v>
      </c>
    </row>
    <row r="138" spans="1:12" x14ac:dyDescent="0.2">
      <c r="A138" s="1" t="s">
        <v>144</v>
      </c>
      <c r="B138" s="1">
        <v>18</v>
      </c>
      <c r="C138" s="1">
        <v>14</v>
      </c>
      <c r="D138" s="1">
        <v>23</v>
      </c>
      <c r="E138" s="1">
        <v>28</v>
      </c>
      <c r="F138" s="1">
        <v>24</v>
      </c>
      <c r="G138" s="1">
        <v>13</v>
      </c>
      <c r="H138" s="1">
        <v>21</v>
      </c>
      <c r="I138" s="1">
        <v>26</v>
      </c>
      <c r="J138" s="1">
        <v>30</v>
      </c>
      <c r="K138" s="1">
        <v>57</v>
      </c>
      <c r="L138" s="1">
        <f t="shared" si="20"/>
        <v>254</v>
      </c>
    </row>
    <row r="139" spans="1:12" x14ac:dyDescent="0.2">
      <c r="A139" s="1" t="s">
        <v>145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9</v>
      </c>
      <c r="I139" s="1">
        <v>2</v>
      </c>
      <c r="J139" s="1">
        <v>6</v>
      </c>
      <c r="K139" s="1">
        <v>1</v>
      </c>
      <c r="L139" s="1">
        <f t="shared" si="20"/>
        <v>18</v>
      </c>
    </row>
    <row r="140" spans="1:12" x14ac:dyDescent="0.2">
      <c r="A140" s="1" t="s">
        <v>146</v>
      </c>
      <c r="B140" s="1">
        <v>1</v>
      </c>
      <c r="C140" s="1">
        <v>23</v>
      </c>
      <c r="D140" s="1">
        <v>3</v>
      </c>
      <c r="E140" s="1">
        <v>5</v>
      </c>
      <c r="F140" s="1">
        <v>4</v>
      </c>
      <c r="G140" s="1">
        <v>34</v>
      </c>
      <c r="H140" s="1">
        <v>6</v>
      </c>
      <c r="I140" s="1">
        <v>46</v>
      </c>
      <c r="J140" s="1">
        <v>44</v>
      </c>
      <c r="K140" s="1">
        <v>85</v>
      </c>
      <c r="L140" s="1">
        <f t="shared" si="20"/>
        <v>251</v>
      </c>
    </row>
    <row r="141" spans="1:12" x14ac:dyDescent="0.2">
      <c r="A141" s="1" t="s">
        <v>156</v>
      </c>
      <c r="B141" s="1">
        <v>1</v>
      </c>
      <c r="C141" s="1">
        <v>0</v>
      </c>
      <c r="D141" s="1">
        <v>0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1</v>
      </c>
      <c r="L141" s="1">
        <f t="shared" si="20"/>
        <v>3</v>
      </c>
    </row>
    <row r="142" spans="1:12" x14ac:dyDescent="0.2">
      <c r="A142" s="1" t="s">
        <v>147</v>
      </c>
      <c r="B142" s="1">
        <v>9</v>
      </c>
      <c r="C142" s="1">
        <v>10</v>
      </c>
      <c r="D142" s="1">
        <v>14</v>
      </c>
      <c r="E142" s="1">
        <v>37</v>
      </c>
      <c r="F142" s="1">
        <v>7</v>
      </c>
      <c r="G142" s="1">
        <v>27</v>
      </c>
      <c r="H142" s="1">
        <v>25</v>
      </c>
      <c r="I142" s="1">
        <v>4</v>
      </c>
      <c r="J142" s="1">
        <v>62</v>
      </c>
      <c r="K142" s="1">
        <v>6</v>
      </c>
      <c r="L142" s="1">
        <f t="shared" si="20"/>
        <v>201</v>
      </c>
    </row>
    <row r="143" spans="1:12" x14ac:dyDescent="0.2">
      <c r="A143" s="1" t="s">
        <v>148</v>
      </c>
      <c r="B143" s="1">
        <v>0</v>
      </c>
      <c r="C143" s="1">
        <v>1</v>
      </c>
      <c r="D143" s="1">
        <v>1</v>
      </c>
      <c r="E143" s="1">
        <v>2</v>
      </c>
      <c r="F143" s="1">
        <v>6</v>
      </c>
      <c r="G143" s="1">
        <v>10</v>
      </c>
      <c r="H143" s="1">
        <v>7</v>
      </c>
      <c r="I143" s="1">
        <v>2</v>
      </c>
      <c r="J143" s="1">
        <v>9</v>
      </c>
      <c r="K143" s="1">
        <v>2</v>
      </c>
      <c r="L143" s="1">
        <f t="shared" si="20"/>
        <v>40</v>
      </c>
    </row>
    <row r="144" spans="1:12" x14ac:dyDescent="0.2">
      <c r="A144" s="1" t="s">
        <v>149</v>
      </c>
      <c r="B144" s="1">
        <v>0</v>
      </c>
      <c r="C144" s="1">
        <v>7</v>
      </c>
      <c r="D144" s="1">
        <v>6</v>
      </c>
      <c r="E144" s="1">
        <v>3</v>
      </c>
      <c r="F144" s="1">
        <v>5</v>
      </c>
      <c r="G144" s="1">
        <v>15</v>
      </c>
      <c r="H144" s="1">
        <v>8</v>
      </c>
      <c r="I144" s="1">
        <v>7</v>
      </c>
      <c r="J144" s="1">
        <v>10</v>
      </c>
      <c r="K144" s="1">
        <v>11</v>
      </c>
      <c r="L144" s="1">
        <f t="shared" si="20"/>
        <v>72</v>
      </c>
    </row>
    <row r="145" spans="1:12" x14ac:dyDescent="0.2">
      <c r="A145" s="1" t="s">
        <v>150</v>
      </c>
      <c r="B145" s="1">
        <v>0</v>
      </c>
      <c r="C145" s="1">
        <v>6</v>
      </c>
      <c r="D145" s="1">
        <v>9</v>
      </c>
      <c r="E145" s="1">
        <v>14</v>
      </c>
      <c r="F145" s="1">
        <v>9</v>
      </c>
      <c r="G145" s="1">
        <v>40</v>
      </c>
      <c r="H145" s="1">
        <v>39</v>
      </c>
      <c r="I145" s="1">
        <v>18</v>
      </c>
      <c r="J145" s="1">
        <v>35</v>
      </c>
      <c r="K145" s="1">
        <v>12</v>
      </c>
      <c r="L145" s="1">
        <f t="shared" si="20"/>
        <v>182</v>
      </c>
    </row>
    <row r="146" spans="1:12" x14ac:dyDescent="0.2">
      <c r="A146" s="1" t="s">
        <v>151</v>
      </c>
      <c r="B146" s="1">
        <v>0</v>
      </c>
      <c r="C146" s="1">
        <v>8</v>
      </c>
      <c r="D146" s="1">
        <v>22</v>
      </c>
      <c r="E146" s="1">
        <v>7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f t="shared" si="20"/>
        <v>37</v>
      </c>
    </row>
    <row r="147" spans="1:12" x14ac:dyDescent="0.2">
      <c r="A147" s="1" t="s">
        <v>152</v>
      </c>
      <c r="B147" s="1">
        <v>2</v>
      </c>
      <c r="C147" s="1">
        <v>4</v>
      </c>
      <c r="D147" s="1">
        <v>6</v>
      </c>
      <c r="E147" s="1">
        <v>1</v>
      </c>
      <c r="F147" s="1">
        <v>3</v>
      </c>
      <c r="G147" s="1">
        <v>1</v>
      </c>
      <c r="H147" s="1">
        <v>1</v>
      </c>
      <c r="I147" s="1">
        <v>0</v>
      </c>
      <c r="J147" s="1">
        <v>1</v>
      </c>
      <c r="K147" s="1">
        <v>1</v>
      </c>
      <c r="L147" s="1">
        <f t="shared" si="20"/>
        <v>20</v>
      </c>
    </row>
    <row r="148" spans="1:12" x14ac:dyDescent="0.2">
      <c r="B148" s="1">
        <f>SUM(B120:B147)</f>
        <v>599</v>
      </c>
      <c r="C148" s="1">
        <f t="shared" ref="C148:L148" si="21">SUM(C120:C147)</f>
        <v>450</v>
      </c>
      <c r="D148" s="1">
        <f t="shared" si="21"/>
        <v>681</v>
      </c>
      <c r="E148" s="1">
        <f t="shared" si="21"/>
        <v>577</v>
      </c>
      <c r="F148" s="1">
        <f t="shared" si="21"/>
        <v>668</v>
      </c>
      <c r="G148" s="1">
        <f t="shared" si="21"/>
        <v>659</v>
      </c>
      <c r="H148" s="1">
        <f t="shared" si="21"/>
        <v>765</v>
      </c>
      <c r="I148" s="1">
        <f t="shared" si="21"/>
        <v>645</v>
      </c>
      <c r="J148" s="1">
        <f t="shared" si="21"/>
        <v>800</v>
      </c>
      <c r="K148" s="1">
        <f t="shared" si="21"/>
        <v>734</v>
      </c>
      <c r="L148" s="1">
        <f t="shared" si="21"/>
        <v>6578</v>
      </c>
    </row>
    <row r="149" spans="1:12" x14ac:dyDescent="0.2">
      <c r="A149" s="1" t="s">
        <v>157</v>
      </c>
    </row>
    <row r="150" spans="1:12" x14ac:dyDescent="0.2">
      <c r="A150" s="1">
        <v>1702</v>
      </c>
      <c r="B150" s="1">
        <f>B148/2</f>
        <v>299.5</v>
      </c>
    </row>
    <row r="151" spans="1:12" x14ac:dyDescent="0.2">
      <c r="A151" s="1">
        <v>1703</v>
      </c>
      <c r="B151" s="1">
        <f>B148/2</f>
        <v>299.5</v>
      </c>
    </row>
    <row r="152" spans="1:12" x14ac:dyDescent="0.2">
      <c r="A152" s="1">
        <v>1704</v>
      </c>
      <c r="B152" s="1">
        <f>C148</f>
        <v>450</v>
      </c>
    </row>
    <row r="153" spans="1:12" x14ac:dyDescent="0.2">
      <c r="A153" s="1">
        <v>1705</v>
      </c>
      <c r="B153" s="1">
        <f>D148</f>
        <v>681</v>
      </c>
    </row>
    <row r="154" spans="1:12" x14ac:dyDescent="0.2">
      <c r="A154" s="1">
        <v>1706</v>
      </c>
      <c r="B154" s="1">
        <f>E148</f>
        <v>577</v>
      </c>
    </row>
    <row r="155" spans="1:12" x14ac:dyDescent="0.2">
      <c r="A155" s="1">
        <v>1707</v>
      </c>
      <c r="B155" s="1">
        <f>F148</f>
        <v>668</v>
      </c>
    </row>
    <row r="156" spans="1:12" x14ac:dyDescent="0.2">
      <c r="A156" s="1">
        <v>1708</v>
      </c>
      <c r="B156" s="1">
        <f>G148</f>
        <v>659</v>
      </c>
    </row>
    <row r="157" spans="1:12" x14ac:dyDescent="0.2">
      <c r="A157" s="1">
        <v>1709</v>
      </c>
      <c r="B157" s="1">
        <f>H148</f>
        <v>765</v>
      </c>
    </row>
    <row r="158" spans="1:12" x14ac:dyDescent="0.2">
      <c r="A158" s="1">
        <v>1710</v>
      </c>
      <c r="B158" s="1">
        <f>I148</f>
        <v>645</v>
      </c>
    </row>
    <row r="159" spans="1:12" x14ac:dyDescent="0.2">
      <c r="A159" s="1">
        <v>1711</v>
      </c>
      <c r="B159" s="1">
        <f>J148</f>
        <v>800</v>
      </c>
    </row>
    <row r="160" spans="1:12" x14ac:dyDescent="0.2">
      <c r="A160" s="1">
        <v>1712</v>
      </c>
      <c r="B160" s="1">
        <f>K148/2</f>
        <v>367</v>
      </c>
    </row>
    <row r="161" spans="1:5" x14ac:dyDescent="0.2">
      <c r="A161" s="1">
        <v>1713</v>
      </c>
      <c r="B161" s="1">
        <f>K148/2</f>
        <v>367</v>
      </c>
    </row>
    <row r="162" spans="1:5" x14ac:dyDescent="0.2">
      <c r="A162" s="1" t="s">
        <v>67</v>
      </c>
      <c r="B162" s="1">
        <f>SUM(B150:B161)</f>
        <v>6578</v>
      </c>
    </row>
    <row r="163" spans="1:5" x14ac:dyDescent="0.2">
      <c r="A163" s="1" t="s">
        <v>159</v>
      </c>
      <c r="B163" s="1">
        <f>B162/12</f>
        <v>548.16666666666663</v>
      </c>
      <c r="C163" s="1" t="s">
        <v>177</v>
      </c>
    </row>
    <row r="165" spans="1:5" x14ac:dyDescent="0.2">
      <c r="A165" s="1" t="s">
        <v>158</v>
      </c>
      <c r="C165" s="1" t="s">
        <v>164</v>
      </c>
    </row>
    <row r="166" spans="1:5" x14ac:dyDescent="0.2">
      <c r="A166" s="1" t="s">
        <v>1</v>
      </c>
      <c r="B166" s="1">
        <v>30500</v>
      </c>
      <c r="C166" s="1">
        <f>B166/L120</f>
        <v>18.757687576875767</v>
      </c>
    </row>
    <row r="167" spans="1:5" x14ac:dyDescent="0.2">
      <c r="A167" s="1" t="s">
        <v>2</v>
      </c>
      <c r="B167" s="1">
        <v>15000</v>
      </c>
      <c r="C167" s="1">
        <f>B167/L121</f>
        <v>11.556240369799692</v>
      </c>
    </row>
    <row r="168" spans="1:5" x14ac:dyDescent="0.2">
      <c r="A168" s="1" t="s">
        <v>159</v>
      </c>
      <c r="B168" s="1">
        <f>SUM(B166:B167)</f>
        <v>45500</v>
      </c>
      <c r="C168" s="1">
        <f>B168/(L120+L121)</f>
        <v>15.560875512995896</v>
      </c>
    </row>
    <row r="169" spans="1:5" x14ac:dyDescent="0.2">
      <c r="E169" s="1" t="s">
        <v>181</v>
      </c>
    </row>
    <row r="170" spans="1:5" x14ac:dyDescent="0.2">
      <c r="A170" s="1" t="s">
        <v>160</v>
      </c>
      <c r="B170" s="1" t="s">
        <v>161</v>
      </c>
      <c r="C170" s="1" t="s">
        <v>162</v>
      </c>
      <c r="D170" s="1" t="s">
        <v>164</v>
      </c>
    </row>
    <row r="171" spans="1:5" x14ac:dyDescent="0.2">
      <c r="A171" s="1" t="s">
        <v>1</v>
      </c>
      <c r="B171" s="1">
        <v>293.63400000000001</v>
      </c>
      <c r="C171" s="1">
        <v>154</v>
      </c>
      <c r="D171" s="1">
        <f>B171/C171</f>
        <v>1.9067142857142858</v>
      </c>
      <c r="E171" s="1">
        <f>D171/0.123</f>
        <v>15.501742160278747</v>
      </c>
    </row>
    <row r="172" spans="1:5" x14ac:dyDescent="0.2">
      <c r="A172" s="1" t="s">
        <v>135</v>
      </c>
      <c r="B172" s="1">
        <v>162.69399999999999</v>
      </c>
      <c r="C172" s="1">
        <v>51</v>
      </c>
      <c r="D172" s="1">
        <f t="shared" ref="D172:D176" si="22">B172/C172</f>
        <v>3.190078431372549</v>
      </c>
      <c r="E172" s="1">
        <f t="shared" ref="E172:E176" si="23">D172/0.123</f>
        <v>25.935597003028853</v>
      </c>
    </row>
    <row r="173" spans="1:5" x14ac:dyDescent="0.2">
      <c r="A173" s="1" t="s">
        <v>147</v>
      </c>
      <c r="B173" s="1">
        <v>79.828000000000003</v>
      </c>
      <c r="C173" s="1">
        <v>19</v>
      </c>
      <c r="D173" s="1">
        <f t="shared" si="22"/>
        <v>4.2014736842105265</v>
      </c>
      <c r="E173" s="1">
        <f t="shared" si="23"/>
        <v>34.158322635857942</v>
      </c>
    </row>
    <row r="174" spans="1:5" x14ac:dyDescent="0.2">
      <c r="A174" s="1" t="s">
        <v>144</v>
      </c>
      <c r="B174" s="1">
        <v>199.572</v>
      </c>
      <c r="C174" s="1">
        <v>94</v>
      </c>
      <c r="D174" s="1">
        <f t="shared" si="22"/>
        <v>2.1231063829787233</v>
      </c>
      <c r="E174" s="1">
        <f t="shared" si="23"/>
        <v>17.261027503892059</v>
      </c>
    </row>
    <row r="175" spans="1:5" x14ac:dyDescent="0.2">
      <c r="A175" s="1" t="s">
        <v>2</v>
      </c>
      <c r="B175" s="1">
        <v>134.32300000000001</v>
      </c>
      <c r="C175" s="1">
        <v>71</v>
      </c>
      <c r="D175" s="1">
        <f t="shared" si="22"/>
        <v>1.8918732394366198</v>
      </c>
      <c r="E175" s="1">
        <f t="shared" si="23"/>
        <v>15.381083247452194</v>
      </c>
    </row>
    <row r="176" spans="1:5" x14ac:dyDescent="0.2">
      <c r="A176" s="1" t="s">
        <v>133</v>
      </c>
      <c r="B176" s="1">
        <v>73.033000000000001</v>
      </c>
      <c r="C176" s="1">
        <v>30</v>
      </c>
      <c r="D176" s="1">
        <f t="shared" si="22"/>
        <v>2.4344333333333332</v>
      </c>
      <c r="E176" s="1">
        <f t="shared" si="23"/>
        <v>19.792140921409214</v>
      </c>
    </row>
    <row r="177" spans="1:4" x14ac:dyDescent="0.2">
      <c r="A177" s="1" t="s">
        <v>163</v>
      </c>
      <c r="B177" s="1">
        <v>324.46600000000001</v>
      </c>
    </row>
    <row r="178" spans="1:4" x14ac:dyDescent="0.2">
      <c r="A178" s="1" t="s">
        <v>140</v>
      </c>
      <c r="B178" s="1">
        <v>51.752000000000002</v>
      </c>
      <c r="C178" s="1" t="s">
        <v>176</v>
      </c>
    </row>
    <row r="179" spans="1:4" x14ac:dyDescent="0.2">
      <c r="A179" s="1" t="s">
        <v>130</v>
      </c>
      <c r="B179" s="1">
        <v>43.313000000000002</v>
      </c>
    </row>
    <row r="180" spans="1:4" x14ac:dyDescent="0.2">
      <c r="A180" s="1" t="s">
        <v>151</v>
      </c>
      <c r="B180" s="1">
        <v>38.92</v>
      </c>
    </row>
    <row r="181" spans="1:4" x14ac:dyDescent="0.2">
      <c r="A181" s="1" t="s">
        <v>3</v>
      </c>
      <c r="B181" s="1">
        <v>38.295000000000002</v>
      </c>
    </row>
    <row r="182" spans="1:4" x14ac:dyDescent="0.2">
      <c r="A182" s="1" t="s">
        <v>139</v>
      </c>
      <c r="B182" s="1">
        <v>36.046999999999997</v>
      </c>
    </row>
    <row r="183" spans="1:4" x14ac:dyDescent="0.2">
      <c r="A183" s="1" t="s">
        <v>166</v>
      </c>
      <c r="B183" s="1">
        <v>32.177</v>
      </c>
    </row>
    <row r="184" spans="1:4" x14ac:dyDescent="0.2">
      <c r="A184" s="1" t="s">
        <v>137</v>
      </c>
      <c r="B184" s="1">
        <v>21.582999999999998</v>
      </c>
    </row>
    <row r="185" spans="1:4" x14ac:dyDescent="0.2">
      <c r="A185" s="1" t="s">
        <v>165</v>
      </c>
      <c r="B185" s="1">
        <v>16.312000000000001</v>
      </c>
    </row>
    <row r="186" spans="1:4" x14ac:dyDescent="0.2">
      <c r="A186" s="1" t="s">
        <v>167</v>
      </c>
      <c r="B186" s="1">
        <v>5</v>
      </c>
    </row>
    <row r="187" spans="1:4" x14ac:dyDescent="0.2">
      <c r="A187" s="1" t="s">
        <v>148</v>
      </c>
      <c r="B187" s="1" t="s">
        <v>171</v>
      </c>
    </row>
    <row r="188" spans="1:4" x14ac:dyDescent="0.2">
      <c r="A188" s="1" t="s">
        <v>168</v>
      </c>
      <c r="B188" s="1" t="s">
        <v>171</v>
      </c>
    </row>
    <row r="189" spans="1:4" x14ac:dyDescent="0.2">
      <c r="A189" s="1" t="s">
        <v>169</v>
      </c>
      <c r="B189" s="1" t="s">
        <v>171</v>
      </c>
    </row>
    <row r="190" spans="1:4" x14ac:dyDescent="0.2">
      <c r="A190" s="1" t="s">
        <v>170</v>
      </c>
      <c r="B190" s="1">
        <v>2.0979999999999999</v>
      </c>
      <c r="C190" s="1" t="s">
        <v>174</v>
      </c>
    </row>
    <row r="191" spans="1:4" x14ac:dyDescent="0.2">
      <c r="A191" s="1" t="s">
        <v>172</v>
      </c>
      <c r="B191" s="1">
        <f>SUM(B171:B186)+B190+3*3.5</f>
        <v>1563.547</v>
      </c>
      <c r="C191" s="1">
        <f>B191/0.123</f>
        <v>12711.764227642278</v>
      </c>
    </row>
    <row r="192" spans="1:4" x14ac:dyDescent="0.2">
      <c r="A192" s="1" t="s">
        <v>173</v>
      </c>
      <c r="B192" s="1">
        <f>B191*12</f>
        <v>18762.563999999998</v>
      </c>
      <c r="C192" s="1">
        <f>B192/0.123</f>
        <v>152541.1707317073</v>
      </c>
      <c r="D192" s="1" t="s">
        <v>175</v>
      </c>
    </row>
    <row r="194" spans="1:3" x14ac:dyDescent="0.2">
      <c r="A194" s="1" t="s">
        <v>178</v>
      </c>
    </row>
    <row r="196" spans="1:3" x14ac:dyDescent="0.2">
      <c r="A196" s="1">
        <v>1702</v>
      </c>
      <c r="B196" s="3">
        <f>C$191*B150/B$154</f>
        <v>6598.2207732735915</v>
      </c>
    </row>
    <row r="197" spans="1:3" x14ac:dyDescent="0.2">
      <c r="A197" s="1">
        <v>1703</v>
      </c>
      <c r="B197" s="3">
        <f t="shared" ref="B197:B207" si="24">C$191*B151/B$154</f>
        <v>6598.2207732735915</v>
      </c>
    </row>
    <row r="198" spans="1:3" x14ac:dyDescent="0.2">
      <c r="A198" s="1">
        <v>1704</v>
      </c>
      <c r="B198" s="3">
        <f t="shared" si="24"/>
        <v>9913.8542503276003</v>
      </c>
    </row>
    <row r="199" spans="1:3" x14ac:dyDescent="0.2">
      <c r="A199" s="1">
        <v>1705</v>
      </c>
      <c r="B199" s="3">
        <f t="shared" si="24"/>
        <v>15002.9660988291</v>
      </c>
    </row>
    <row r="200" spans="1:3" x14ac:dyDescent="0.2">
      <c r="A200" s="1">
        <v>1706</v>
      </c>
      <c r="B200" s="3">
        <f t="shared" si="24"/>
        <v>12711.764227642278</v>
      </c>
    </row>
    <row r="201" spans="1:3" x14ac:dyDescent="0.2">
      <c r="A201" s="1">
        <v>1707</v>
      </c>
      <c r="B201" s="3">
        <f t="shared" si="24"/>
        <v>14716.565864930746</v>
      </c>
    </row>
    <row r="202" spans="1:3" x14ac:dyDescent="0.2">
      <c r="A202" s="1">
        <v>1708</v>
      </c>
      <c r="B202" s="3">
        <f t="shared" si="24"/>
        <v>14518.288779924196</v>
      </c>
    </row>
    <row r="203" spans="1:3" x14ac:dyDescent="0.2">
      <c r="A203" s="1">
        <v>1709</v>
      </c>
      <c r="B203" s="3">
        <f t="shared" si="24"/>
        <v>16853.552225556919</v>
      </c>
    </row>
    <row r="204" spans="1:3" x14ac:dyDescent="0.2">
      <c r="A204" s="1">
        <v>1710</v>
      </c>
      <c r="B204" s="3">
        <f t="shared" si="24"/>
        <v>14209.857758802893</v>
      </c>
    </row>
    <row r="205" spans="1:3" x14ac:dyDescent="0.2">
      <c r="A205" s="1">
        <v>1711</v>
      </c>
      <c r="B205" s="3">
        <f t="shared" si="24"/>
        <v>17624.629778360177</v>
      </c>
    </row>
    <row r="206" spans="1:3" x14ac:dyDescent="0.2">
      <c r="A206" s="1">
        <v>1712</v>
      </c>
      <c r="B206" s="3">
        <f t="shared" si="24"/>
        <v>8085.2989108227302</v>
      </c>
    </row>
    <row r="207" spans="1:3" x14ac:dyDescent="0.2">
      <c r="A207" s="1">
        <v>1713</v>
      </c>
      <c r="B207" s="3">
        <f t="shared" si="24"/>
        <v>8085.2989108227302</v>
      </c>
    </row>
    <row r="208" spans="1:3" x14ac:dyDescent="0.2">
      <c r="A208" s="1" t="s">
        <v>67</v>
      </c>
      <c r="B208" s="1">
        <f>SUM(B196:B207)</f>
        <v>144918.51835256655</v>
      </c>
      <c r="C208" s="1" t="s">
        <v>179</v>
      </c>
    </row>
    <row r="209" spans="1:12" x14ac:dyDescent="0.2">
      <c r="A209" s="1" t="s">
        <v>188</v>
      </c>
    </row>
    <row r="213" spans="1:12" x14ac:dyDescent="0.2">
      <c r="A213" s="1" t="s">
        <v>185</v>
      </c>
    </row>
    <row r="214" spans="1:12" x14ac:dyDescent="0.2">
      <c r="A214" s="1" t="s">
        <v>186</v>
      </c>
    </row>
    <row r="215" spans="1:12" x14ac:dyDescent="0.2">
      <c r="A215" s="1" t="s">
        <v>187</v>
      </c>
    </row>
    <row r="216" spans="1:12" x14ac:dyDescent="0.2">
      <c r="A216" s="1" t="s">
        <v>189</v>
      </c>
    </row>
    <row r="217" spans="1:12" x14ac:dyDescent="0.2">
      <c r="A217" s="1" t="s">
        <v>191</v>
      </c>
    </row>
    <row r="219" spans="1:12" x14ac:dyDescent="0.2">
      <c r="A219" s="1" t="s">
        <v>195</v>
      </c>
    </row>
    <row r="220" spans="1:12" x14ac:dyDescent="0.2">
      <c r="B220" s="1" t="s">
        <v>74</v>
      </c>
      <c r="C220" s="1" t="s">
        <v>75</v>
      </c>
      <c r="D220" s="1" t="s">
        <v>76</v>
      </c>
      <c r="E220" s="1" t="s">
        <v>77</v>
      </c>
      <c r="F220" s="1" t="s">
        <v>78</v>
      </c>
      <c r="G220" s="1" t="s">
        <v>79</v>
      </c>
      <c r="H220" s="1" t="s">
        <v>80</v>
      </c>
      <c r="I220" s="1" t="s">
        <v>88</v>
      </c>
      <c r="J220" s="1" t="s">
        <v>192</v>
      </c>
      <c r="K220" s="1" t="s">
        <v>193</v>
      </c>
      <c r="L220" s="1" t="s">
        <v>194</v>
      </c>
    </row>
    <row r="221" spans="1:12" x14ac:dyDescent="0.2">
      <c r="A221" s="1" t="s">
        <v>1</v>
      </c>
      <c r="B221" s="1">
        <v>82</v>
      </c>
      <c r="C221" s="1">
        <v>96</v>
      </c>
      <c r="D221" s="1">
        <v>98</v>
      </c>
      <c r="E221" s="1">
        <v>104</v>
      </c>
      <c r="F221" s="1">
        <v>76</v>
      </c>
      <c r="G221" s="1">
        <v>6</v>
      </c>
      <c r="H221" s="1">
        <v>0</v>
      </c>
      <c r="I221" s="1">
        <v>464</v>
      </c>
      <c r="J221" s="1">
        <v>588</v>
      </c>
      <c r="K221" s="1">
        <v>640</v>
      </c>
      <c r="L221" s="1">
        <v>792</v>
      </c>
    </row>
    <row r="222" spans="1:12" x14ac:dyDescent="0.2">
      <c r="A222" s="1" t="s">
        <v>2</v>
      </c>
      <c r="B222" s="1">
        <v>42</v>
      </c>
      <c r="C222" s="1">
        <v>33</v>
      </c>
      <c r="D222" s="1">
        <v>86</v>
      </c>
      <c r="E222" s="1">
        <v>98</v>
      </c>
      <c r="F222" s="1">
        <v>109</v>
      </c>
      <c r="G222" s="1">
        <v>3</v>
      </c>
      <c r="H222" s="1">
        <v>2</v>
      </c>
      <c r="I222" s="1">
        <v>369</v>
      </c>
      <c r="J222" s="1">
        <v>425</v>
      </c>
    </row>
    <row r="224" spans="1:12" x14ac:dyDescent="0.2">
      <c r="A224" s="1" t="s">
        <v>196</v>
      </c>
    </row>
    <row r="225" spans="1:12" x14ac:dyDescent="0.2">
      <c r="B225" s="1" t="s">
        <v>74</v>
      </c>
      <c r="C225" s="1" t="s">
        <v>75</v>
      </c>
      <c r="D225" s="1" t="s">
        <v>76</v>
      </c>
      <c r="E225" s="1" t="s">
        <v>77</v>
      </c>
      <c r="F225" s="1" t="s">
        <v>78</v>
      </c>
      <c r="G225" s="1" t="s">
        <v>79</v>
      </c>
      <c r="H225" s="1" t="s">
        <v>80</v>
      </c>
    </row>
    <row r="226" spans="1:12" x14ac:dyDescent="0.2">
      <c r="B226" s="1">
        <v>4400</v>
      </c>
      <c r="C226" s="1">
        <v>11000</v>
      </c>
      <c r="D226" s="1">
        <v>44000</v>
      </c>
      <c r="E226" s="1">
        <v>77000</v>
      </c>
      <c r="F226" s="1">
        <v>99000</v>
      </c>
      <c r="G226" s="1">
        <v>121000</v>
      </c>
      <c r="H226" s="1">
        <v>154000</v>
      </c>
    </row>
    <row r="228" spans="1:12" x14ac:dyDescent="0.2">
      <c r="A228" s="1" t="s">
        <v>197</v>
      </c>
      <c r="B228" s="1">
        <f>B226*B222</f>
        <v>184800</v>
      </c>
      <c r="C228" s="1">
        <f t="shared" ref="C228:H228" si="25">C226*C222</f>
        <v>363000</v>
      </c>
      <c r="D228" s="1">
        <f t="shared" si="25"/>
        <v>3784000</v>
      </c>
      <c r="E228" s="1">
        <f t="shared" si="25"/>
        <v>7546000</v>
      </c>
      <c r="F228" s="1">
        <f t="shared" si="25"/>
        <v>10791000</v>
      </c>
      <c r="G228" s="1">
        <f t="shared" si="25"/>
        <v>363000</v>
      </c>
      <c r="H228" s="1">
        <f t="shared" si="25"/>
        <v>308000</v>
      </c>
      <c r="I228" s="1">
        <f>SUM(B228:H228)</f>
        <v>23339800</v>
      </c>
      <c r="J228" s="3">
        <f>I228*J222/I222</f>
        <v>26881883.468834687</v>
      </c>
      <c r="L228" s="1" t="s">
        <v>198</v>
      </c>
    </row>
    <row r="229" spans="1:12" x14ac:dyDescent="0.2">
      <c r="A229" s="1" t="s">
        <v>1</v>
      </c>
      <c r="B229" s="1">
        <f>B221*B226</f>
        <v>360800</v>
      </c>
      <c r="C229" s="1">
        <f t="shared" ref="C229:H229" si="26">C221*C226</f>
        <v>1056000</v>
      </c>
      <c r="D229" s="1">
        <f t="shared" si="26"/>
        <v>4312000</v>
      </c>
      <c r="E229" s="1">
        <f t="shared" si="26"/>
        <v>8008000</v>
      </c>
      <c r="F229" s="1">
        <f t="shared" si="26"/>
        <v>7524000</v>
      </c>
      <c r="G229" s="1">
        <f t="shared" si="26"/>
        <v>726000</v>
      </c>
      <c r="H229" s="1">
        <f t="shared" si="26"/>
        <v>0</v>
      </c>
      <c r="I229" s="1">
        <f>SUM(B229:H229)</f>
        <v>21986800</v>
      </c>
      <c r="J229" s="1">
        <f>I229*J221/I221</f>
        <v>27862582.758620691</v>
      </c>
      <c r="K229" s="1">
        <f>J229*K221/J221</f>
        <v>30326620.689655174</v>
      </c>
      <c r="L229" s="3">
        <f>K229*L221/K221</f>
        <v>37529193.103448279</v>
      </c>
    </row>
    <row r="231" spans="1:12" x14ac:dyDescent="0.2">
      <c r="A231" s="1" t="s">
        <v>199</v>
      </c>
      <c r="E231" s="1">
        <f>(J228+L229)*L148/(L120+L125)</f>
        <v>196701978.50161436</v>
      </c>
    </row>
    <row r="233" spans="1:12" x14ac:dyDescent="0.2">
      <c r="A233" s="1" t="s">
        <v>200</v>
      </c>
      <c r="G233" s="1" t="s">
        <v>205</v>
      </c>
      <c r="H233" s="1" t="s">
        <v>206</v>
      </c>
      <c r="I233" s="1" t="s">
        <v>207</v>
      </c>
      <c r="J233" s="1" t="s">
        <v>208</v>
      </c>
    </row>
    <row r="234" spans="1:12" x14ac:dyDescent="0.2">
      <c r="A234" s="1" t="s">
        <v>201</v>
      </c>
      <c r="B234" s="1" t="s">
        <v>203</v>
      </c>
      <c r="C234" s="1">
        <v>30000000</v>
      </c>
      <c r="E234" s="1" t="s">
        <v>204</v>
      </c>
      <c r="G234" s="5">
        <f>648/590</f>
        <v>1.0983050847457627</v>
      </c>
      <c r="H234" s="5">
        <f>320/143</f>
        <v>2.2377622377622379</v>
      </c>
      <c r="I234" s="5">
        <f>4000/(1.92*700)</f>
        <v>2.9761904761904763</v>
      </c>
      <c r="J234" s="2">
        <v>1.5</v>
      </c>
      <c r="K234" s="1">
        <f>J234*C234</f>
        <v>45000000</v>
      </c>
    </row>
    <row r="235" spans="1:12" x14ac:dyDescent="0.2">
      <c r="A235" s="1" t="s">
        <v>209</v>
      </c>
      <c r="G235" s="5"/>
      <c r="H235" s="5"/>
      <c r="I235" s="5"/>
      <c r="J235" s="2"/>
    </row>
    <row r="236" spans="1:12" x14ac:dyDescent="0.2">
      <c r="A236" s="1">
        <v>1702</v>
      </c>
      <c r="B236" s="1">
        <f>K$234/12/2</f>
        <v>1875000</v>
      </c>
    </row>
    <row r="237" spans="1:12" x14ac:dyDescent="0.2">
      <c r="A237" s="1">
        <v>1703</v>
      </c>
      <c r="B237" s="1">
        <f t="shared" ref="B237:B243" si="27">K$234/12/2</f>
        <v>1875000</v>
      </c>
    </row>
    <row r="238" spans="1:12" x14ac:dyDescent="0.2">
      <c r="A238" s="1">
        <v>1704</v>
      </c>
      <c r="B238" s="1">
        <f t="shared" si="27"/>
        <v>1875000</v>
      </c>
    </row>
    <row r="239" spans="1:12" x14ac:dyDescent="0.2">
      <c r="A239" s="1">
        <v>1705</v>
      </c>
      <c r="B239" s="1">
        <f t="shared" si="27"/>
        <v>1875000</v>
      </c>
    </row>
    <row r="240" spans="1:12" x14ac:dyDescent="0.2">
      <c r="A240" s="1">
        <v>1706</v>
      </c>
      <c r="B240" s="1">
        <f t="shared" si="27"/>
        <v>1875000</v>
      </c>
    </row>
    <row r="241" spans="1:10" x14ac:dyDescent="0.2">
      <c r="A241" s="1">
        <v>1707</v>
      </c>
      <c r="B241" s="1">
        <f t="shared" si="27"/>
        <v>1875000</v>
      </c>
    </row>
    <row r="242" spans="1:10" x14ac:dyDescent="0.2">
      <c r="A242" s="1">
        <v>1708</v>
      </c>
      <c r="B242" s="1">
        <f t="shared" si="27"/>
        <v>1875000</v>
      </c>
    </row>
    <row r="243" spans="1:10" x14ac:dyDescent="0.2">
      <c r="A243" s="1">
        <v>1709</v>
      </c>
      <c r="B243" s="1">
        <f t="shared" si="27"/>
        <v>1875000</v>
      </c>
    </row>
    <row r="244" spans="1:10" x14ac:dyDescent="0.2">
      <c r="A244" s="1">
        <v>1710</v>
      </c>
      <c r="B244" s="1">
        <f>K$234/4+K$234/2/12</f>
        <v>13125000</v>
      </c>
    </row>
    <row r="245" spans="1:10" x14ac:dyDescent="0.2">
      <c r="A245" s="1">
        <v>1711</v>
      </c>
      <c r="B245" s="1">
        <f>K$234/12/2</f>
        <v>1875000</v>
      </c>
    </row>
    <row r="246" spans="1:10" x14ac:dyDescent="0.2">
      <c r="A246" s="1">
        <v>1712</v>
      </c>
      <c r="B246" s="1">
        <f>K$234/4+K$234/2/12</f>
        <v>13125000</v>
      </c>
    </row>
    <row r="247" spans="1:10" x14ac:dyDescent="0.2">
      <c r="A247" s="1">
        <v>1713</v>
      </c>
      <c r="B247" s="1">
        <f>K$234/12/2</f>
        <v>1875000</v>
      </c>
    </row>
    <row r="248" spans="1:10" x14ac:dyDescent="0.2">
      <c r="B248" s="1">
        <f>SUM(B236:B247)</f>
        <v>45000000</v>
      </c>
      <c r="G248" s="5"/>
      <c r="H248" s="5"/>
      <c r="I248" s="5"/>
      <c r="J248" s="2"/>
    </row>
    <row r="249" spans="1:10" x14ac:dyDescent="0.2">
      <c r="G249" s="5"/>
      <c r="H249" s="5"/>
      <c r="I249" s="5"/>
      <c r="J249" s="2"/>
    </row>
    <row r="250" spans="1:10" x14ac:dyDescent="0.2">
      <c r="A250" s="1" t="s">
        <v>202</v>
      </c>
    </row>
    <row r="252" spans="1:10" s="10" customFormat="1" x14ac:dyDescent="0.2">
      <c r="A252" s="10" t="s">
        <v>68</v>
      </c>
    </row>
    <row r="256" spans="1:10" x14ac:dyDescent="0.2">
      <c r="A256" s="1" t="s">
        <v>0</v>
      </c>
    </row>
    <row r="257" spans="1:5" x14ac:dyDescent="0.2">
      <c r="B257" s="1" t="s">
        <v>1</v>
      </c>
      <c r="C257" s="1" t="s">
        <v>2</v>
      </c>
      <c r="D257" s="1" t="s">
        <v>3</v>
      </c>
    </row>
    <row r="258" spans="1:5" x14ac:dyDescent="0.2">
      <c r="A258" s="1">
        <v>1744</v>
      </c>
      <c r="B258" s="1">
        <f>865</f>
        <v>865</v>
      </c>
      <c r="C258" s="1">
        <v>915</v>
      </c>
      <c r="D258" s="1">
        <v>880</v>
      </c>
    </row>
    <row r="259" spans="1:5" x14ac:dyDescent="0.2">
      <c r="A259" s="1">
        <v>1745</v>
      </c>
      <c r="B259" s="1">
        <v>630</v>
      </c>
      <c r="C259" s="1">
        <v>2872</v>
      </c>
      <c r="D259" s="1">
        <v>1690</v>
      </c>
    </row>
    <row r="260" spans="1:5" x14ac:dyDescent="0.2">
      <c r="A260" s="1">
        <v>1746</v>
      </c>
      <c r="B260" s="1">
        <v>747</v>
      </c>
      <c r="C260" s="1">
        <v>2820</v>
      </c>
      <c r="D260" s="1">
        <v>1657</v>
      </c>
    </row>
    <row r="261" spans="1:5" x14ac:dyDescent="0.2">
      <c r="A261" s="1">
        <v>1747</v>
      </c>
      <c r="B261" s="1">
        <v>492</v>
      </c>
      <c r="C261" s="1">
        <v>1655</v>
      </c>
      <c r="D261" s="1">
        <v>1657</v>
      </c>
    </row>
    <row r="262" spans="1:5" x14ac:dyDescent="0.2">
      <c r="A262" s="1">
        <v>1748</v>
      </c>
      <c r="B262" s="1">
        <v>558</v>
      </c>
      <c r="C262" s="1">
        <v>340</v>
      </c>
      <c r="D262" s="1">
        <v>937</v>
      </c>
    </row>
    <row r="264" spans="1:5" x14ac:dyDescent="0.2">
      <c r="A264" s="1" t="s">
        <v>4</v>
      </c>
      <c r="E264" s="2">
        <f>4800/3292</f>
        <v>1.4580801944106927</v>
      </c>
    </row>
    <row r="265" spans="1:5" x14ac:dyDescent="0.2">
      <c r="A265" s="1" t="s">
        <v>5</v>
      </c>
      <c r="E265" s="2">
        <f>7300/6821</f>
        <v>1.0702243072863216</v>
      </c>
    </row>
    <row r="266" spans="1:5" x14ac:dyDescent="0.2">
      <c r="B266" s="1" t="s">
        <v>1</v>
      </c>
      <c r="C266" s="1" t="s">
        <v>2</v>
      </c>
      <c r="D266" s="1" t="s">
        <v>3</v>
      </c>
    </row>
    <row r="267" spans="1:5" x14ac:dyDescent="0.2">
      <c r="A267" s="1">
        <v>1744</v>
      </c>
      <c r="B267" s="1">
        <f>B258*$E$264</f>
        <v>1261.2393681652493</v>
      </c>
      <c r="C267" s="1">
        <f>C258</f>
        <v>915</v>
      </c>
      <c r="D267" s="1">
        <f>D258*$E$265</f>
        <v>941.79739041196297</v>
      </c>
    </row>
    <row r="268" spans="1:5" x14ac:dyDescent="0.2">
      <c r="A268" s="1">
        <v>1745</v>
      </c>
      <c r="B268" s="1">
        <f>B259*$E$264</f>
        <v>918.59052247873637</v>
      </c>
      <c r="C268" s="1">
        <f t="shared" ref="C268:C271" si="28">C259</f>
        <v>2872</v>
      </c>
      <c r="D268" s="1">
        <f>D259*$E$265</f>
        <v>1808.6790793138834</v>
      </c>
    </row>
    <row r="269" spans="1:5" x14ac:dyDescent="0.2">
      <c r="A269" s="1">
        <v>1746</v>
      </c>
      <c r="B269" s="1">
        <f>B260*$E$264</f>
        <v>1089.1859052247873</v>
      </c>
      <c r="C269" s="1">
        <f t="shared" si="28"/>
        <v>2820</v>
      </c>
      <c r="D269" s="1">
        <f>D260*$E$265</f>
        <v>1773.3616771734348</v>
      </c>
    </row>
    <row r="270" spans="1:5" x14ac:dyDescent="0.2">
      <c r="A270" s="1">
        <v>1747</v>
      </c>
      <c r="B270" s="1">
        <f>B261*$E$264</f>
        <v>717.37545565006076</v>
      </c>
      <c r="C270" s="1">
        <f t="shared" si="28"/>
        <v>1655</v>
      </c>
      <c r="D270" s="1">
        <f>D261*$E$265</f>
        <v>1773.3616771734348</v>
      </c>
    </row>
    <row r="271" spans="1:5" x14ac:dyDescent="0.2">
      <c r="A271" s="1">
        <v>1748</v>
      </c>
      <c r="B271" s="1">
        <f>B262*$E$264</f>
        <v>813.60874848116657</v>
      </c>
      <c r="C271" s="1">
        <f t="shared" si="28"/>
        <v>340</v>
      </c>
      <c r="D271" s="1">
        <f>D262*$E$265</f>
        <v>1002.8001759272832</v>
      </c>
    </row>
    <row r="272" spans="1:5" x14ac:dyDescent="0.2">
      <c r="B272" s="1">
        <f>SUM(B267:B271)</f>
        <v>4800.0000000000009</v>
      </c>
      <c r="C272" s="1">
        <f t="shared" ref="C272:D272" si="29">SUM(C267:C271)</f>
        <v>8602</v>
      </c>
      <c r="D272" s="1">
        <f t="shared" si="29"/>
        <v>7299.9999999999991</v>
      </c>
      <c r="E272" s="1">
        <f>SUM(B272:D272)</f>
        <v>20702</v>
      </c>
    </row>
    <row r="274" spans="1:5" x14ac:dyDescent="0.2">
      <c r="A274" s="1" t="s">
        <v>9</v>
      </c>
    </row>
    <row r="275" spans="1:5" x14ac:dyDescent="0.2">
      <c r="B275" s="1" t="s">
        <v>1</v>
      </c>
      <c r="C275" s="1" t="s">
        <v>2</v>
      </c>
      <c r="D275" s="1" t="s">
        <v>3</v>
      </c>
      <c r="E275" s="1" t="s">
        <v>6</v>
      </c>
    </row>
    <row r="276" spans="1:5" x14ac:dyDescent="0.2">
      <c r="B276" s="1">
        <v>130</v>
      </c>
      <c r="C276" s="1">
        <v>88</v>
      </c>
      <c r="D276" s="1">
        <v>103</v>
      </c>
      <c r="E276" s="1">
        <f>3+53+60+13+18+1+8+13+2+2+12+6+1+11+6+1+7+16+20</f>
        <v>253</v>
      </c>
    </row>
    <row r="277" spans="1:5" x14ac:dyDescent="0.2">
      <c r="A277" s="1" t="s">
        <v>7</v>
      </c>
      <c r="E277" s="1">
        <f>E276/(B276+C276+D276)*E272</f>
        <v>16316.529595015576</v>
      </c>
    </row>
    <row r="279" spans="1:5" x14ac:dyDescent="0.2">
      <c r="A279" s="1" t="s">
        <v>8</v>
      </c>
    </row>
    <row r="280" spans="1:5" x14ac:dyDescent="0.2">
      <c r="A280" s="1">
        <v>1744</v>
      </c>
      <c r="B280" s="1">
        <f>(B267+C267+D267)*($E$272+$E$277)/$E$272</f>
        <v>5575.554826863925</v>
      </c>
    </row>
    <row r="281" spans="1:5" x14ac:dyDescent="0.2">
      <c r="A281" s="1">
        <v>1745</v>
      </c>
      <c r="B281" s="1">
        <f>(B268+C268+D268)*($E$272+$E$277)/$E$272</f>
        <v>10012.401094794281</v>
      </c>
    </row>
    <row r="282" spans="1:5" x14ac:dyDescent="0.2">
      <c r="A282" s="1">
        <v>1746</v>
      </c>
      <c r="B282" s="1">
        <f>(B269+C269+D269)*($E$272+$E$277)/$E$272</f>
        <v>10161.315614631088</v>
      </c>
    </row>
    <row r="283" spans="1:5" x14ac:dyDescent="0.2">
      <c r="A283" s="1">
        <v>1747</v>
      </c>
      <c r="B283" s="1">
        <f>(B270+C270+D270)*($E$272+$E$277)/$E$272</f>
        <v>7413.2495770737905</v>
      </c>
    </row>
    <row r="284" spans="1:5" x14ac:dyDescent="0.2">
      <c r="A284" s="1">
        <v>1748</v>
      </c>
      <c r="B284" s="1">
        <f>(B271+C271+D271)*($E$272+$E$277)/$E$272</f>
        <v>3856.0084816524932</v>
      </c>
    </row>
    <row r="285" spans="1:5" x14ac:dyDescent="0.2">
      <c r="B285" s="1">
        <f>SUM(B280:B284)</f>
        <v>37018.529595015571</v>
      </c>
    </row>
    <row r="289" spans="1:14" x14ac:dyDescent="0.2">
      <c r="A289" s="1" t="s">
        <v>10</v>
      </c>
    </row>
    <row r="290" spans="1:14" x14ac:dyDescent="0.2">
      <c r="B290" s="1" t="s">
        <v>11</v>
      </c>
      <c r="C290" s="1" t="s">
        <v>59</v>
      </c>
      <c r="D290" s="1" t="s">
        <v>3</v>
      </c>
    </row>
    <row r="291" spans="1:14" x14ac:dyDescent="0.2">
      <c r="B291" s="1">
        <v>12000</v>
      </c>
      <c r="C291" s="1">
        <v>11000</v>
      </c>
      <c r="D291" s="1">
        <v>13500</v>
      </c>
    </row>
    <row r="293" spans="1:14" x14ac:dyDescent="0.2">
      <c r="A293" s="1" t="s">
        <v>12</v>
      </c>
      <c r="E293" s="2">
        <f>(B291+C291+D291)/(B272+C272+D272)</f>
        <v>1.7631146749106366</v>
      </c>
    </row>
    <row r="295" spans="1:14" x14ac:dyDescent="0.2">
      <c r="A295" s="1" t="s">
        <v>60</v>
      </c>
      <c r="B295" s="1" t="s">
        <v>61</v>
      </c>
      <c r="F295" s="1" t="s">
        <v>64</v>
      </c>
      <c r="J295" s="4">
        <v>1.5</v>
      </c>
    </row>
    <row r="296" spans="1:14" x14ac:dyDescent="0.2">
      <c r="B296" s="1" t="s">
        <v>62</v>
      </c>
      <c r="C296" s="1" t="s">
        <v>63</v>
      </c>
      <c r="D296" s="1" t="s">
        <v>65</v>
      </c>
      <c r="F296" s="1" t="s">
        <v>66</v>
      </c>
    </row>
    <row r="297" spans="1:14" s="3" customFormat="1" x14ac:dyDescent="0.2">
      <c r="A297" s="1">
        <v>1744</v>
      </c>
      <c r="B297" s="1">
        <v>31</v>
      </c>
      <c r="C297" s="1">
        <v>921</v>
      </c>
      <c r="D297" s="1">
        <f>C297/$J$295</f>
        <v>614</v>
      </c>
      <c r="E297" s="1">
        <f>D297</f>
        <v>614</v>
      </c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>
        <v>1745</v>
      </c>
      <c r="B298" s="1">
        <v>53</v>
      </c>
      <c r="C298" s="1">
        <v>1116</v>
      </c>
      <c r="D298" s="1">
        <f>C298/$J$295</f>
        <v>744</v>
      </c>
      <c r="E298" s="1">
        <f t="shared" ref="E298:E300" si="30">D298</f>
        <v>744</v>
      </c>
    </row>
    <row r="299" spans="1:14" x14ac:dyDescent="0.2">
      <c r="A299" s="1">
        <v>1746</v>
      </c>
      <c r="B299" s="1">
        <v>122</v>
      </c>
      <c r="C299" s="1">
        <v>4679</v>
      </c>
      <c r="D299" s="1">
        <f>C299/$J$295</f>
        <v>3119.3333333333335</v>
      </c>
      <c r="E299" s="1">
        <f t="shared" si="30"/>
        <v>3119.3333333333335</v>
      </c>
    </row>
    <row r="300" spans="1:14" x14ac:dyDescent="0.2">
      <c r="A300" s="1">
        <v>1747</v>
      </c>
      <c r="B300" s="1">
        <v>99</v>
      </c>
      <c r="C300" s="1">
        <v>4441</v>
      </c>
      <c r="D300" s="1">
        <f>C300/$J$295</f>
        <v>2960.6666666666665</v>
      </c>
      <c r="E300" s="1">
        <f t="shared" si="30"/>
        <v>2960.6666666666665</v>
      </c>
    </row>
    <row r="301" spans="1:14" x14ac:dyDescent="0.2">
      <c r="A301" s="1">
        <v>1748</v>
      </c>
      <c r="B301" s="3"/>
      <c r="E301" s="1">
        <f>10000-D302</f>
        <v>2562</v>
      </c>
    </row>
    <row r="302" spans="1:14" x14ac:dyDescent="0.2">
      <c r="B302" s="1">
        <f>SUM(B297:B301)</f>
        <v>305</v>
      </c>
      <c r="C302" s="1">
        <f>SUM(C297:C300)</f>
        <v>11157</v>
      </c>
      <c r="D302" s="1">
        <f>SUM(D297:D300)</f>
        <v>7438</v>
      </c>
      <c r="E302" s="1">
        <f>SUM(E297:E301)</f>
        <v>10000</v>
      </c>
    </row>
    <row r="306" spans="1:14" x14ac:dyDescent="0.2">
      <c r="A306" s="1" t="s">
        <v>8</v>
      </c>
    </row>
    <row r="307" spans="1:14" x14ac:dyDescent="0.2">
      <c r="A307" s="1">
        <v>1744</v>
      </c>
      <c r="B307" s="1">
        <f>B280*$E$293</f>
        <v>9830.3425360126203</v>
      </c>
    </row>
    <row r="308" spans="1:14" x14ac:dyDescent="0.2">
      <c r="A308" s="1">
        <v>1745</v>
      </c>
      <c r="B308" s="1">
        <f>B281*$E$293</f>
        <v>17653.01130132312</v>
      </c>
    </row>
    <row r="309" spans="1:14" x14ac:dyDescent="0.2">
      <c r="A309" s="1">
        <v>1746</v>
      </c>
      <c r="B309" s="1">
        <f>B282*$E$293</f>
        <v>17915.564676554666</v>
      </c>
    </row>
    <row r="310" spans="1:14" x14ac:dyDescent="0.2">
      <c r="A310" s="1">
        <v>1747</v>
      </c>
      <c r="B310" s="1">
        <f>B283*$E$293</f>
        <v>13070.40911811387</v>
      </c>
    </row>
    <row r="311" spans="1:14" x14ac:dyDescent="0.2">
      <c r="A311" s="1">
        <v>1748</v>
      </c>
      <c r="B311" s="1">
        <f>B284*$E$293</f>
        <v>6798.5851405813928</v>
      </c>
      <c r="L311" s="3"/>
      <c r="M311" s="3"/>
      <c r="N311" s="3"/>
    </row>
    <row r="312" spans="1:14" x14ac:dyDescent="0.2">
      <c r="B312" s="1">
        <f>SUM(B307:B311)</f>
        <v>65267.912772585674</v>
      </c>
    </row>
    <row r="322" spans="1:11" x14ac:dyDescent="0.2">
      <c r="A322" s="1" t="s">
        <v>43</v>
      </c>
    </row>
    <row r="323" spans="1:1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s="10" customFormat="1" x14ac:dyDescent="0.2">
      <c r="A324" s="10" t="s">
        <v>180</v>
      </c>
    </row>
    <row r="325" spans="1:11" x14ac:dyDescent="0.2">
      <c r="A325" s="1" t="s">
        <v>13</v>
      </c>
    </row>
    <row r="326" spans="1:11" x14ac:dyDescent="0.2">
      <c r="B326" s="1" t="s">
        <v>1</v>
      </c>
      <c r="C326" s="1" t="s">
        <v>2</v>
      </c>
      <c r="D326" s="1" t="s">
        <v>3</v>
      </c>
      <c r="E326" s="1" t="s">
        <v>16</v>
      </c>
    </row>
    <row r="327" spans="1:11" x14ac:dyDescent="0.2">
      <c r="A327" s="1">
        <v>1756</v>
      </c>
      <c r="B327" s="1">
        <v>980</v>
      </c>
      <c r="C327" s="1">
        <v>755</v>
      </c>
      <c r="D327" s="1">
        <v>430</v>
      </c>
      <c r="E327" s="1">
        <f>SUM(B327:D327)</f>
        <v>2165</v>
      </c>
    </row>
    <row r="328" spans="1:11" x14ac:dyDescent="0.2">
      <c r="A328" s="1">
        <v>1757</v>
      </c>
      <c r="B328" s="1">
        <v>2050</v>
      </c>
      <c r="C328" s="1">
        <v>2517</v>
      </c>
      <c r="D328" s="1">
        <v>2240</v>
      </c>
      <c r="E328" s="1">
        <f t="shared" ref="E328:E334" si="31">SUM(B328:D328)</f>
        <v>6807</v>
      </c>
    </row>
    <row r="329" spans="1:11" x14ac:dyDescent="0.2">
      <c r="A329" s="1">
        <v>1758</v>
      </c>
      <c r="B329" s="1">
        <v>2204</v>
      </c>
      <c r="C329" s="1">
        <v>410</v>
      </c>
      <c r="D329" s="1">
        <v>1035</v>
      </c>
      <c r="E329" s="1">
        <f t="shared" si="31"/>
        <v>3649</v>
      </c>
    </row>
    <row r="330" spans="1:11" x14ac:dyDescent="0.2">
      <c r="A330" s="1">
        <v>1759</v>
      </c>
      <c r="B330" s="1">
        <v>1056</v>
      </c>
      <c r="C330" s="1">
        <v>130</v>
      </c>
      <c r="D330" s="1">
        <v>645</v>
      </c>
      <c r="E330" s="1">
        <f t="shared" si="31"/>
        <v>1831</v>
      </c>
    </row>
    <row r="331" spans="1:11" x14ac:dyDescent="0.2">
      <c r="A331" s="1">
        <v>1760</v>
      </c>
      <c r="B331" s="1">
        <v>662</v>
      </c>
      <c r="C331" s="1">
        <v>985</v>
      </c>
      <c r="D331" s="1">
        <v>555</v>
      </c>
      <c r="E331" s="1">
        <f t="shared" si="31"/>
        <v>2202</v>
      </c>
    </row>
    <row r="332" spans="1:11" x14ac:dyDescent="0.2">
      <c r="A332" s="1">
        <v>1761</v>
      </c>
      <c r="B332" s="1">
        <v>490</v>
      </c>
      <c r="C332" s="1">
        <v>592.5</v>
      </c>
      <c r="D332" s="1">
        <v>897.5</v>
      </c>
      <c r="E332" s="1">
        <f t="shared" si="31"/>
        <v>1980</v>
      </c>
    </row>
    <row r="333" spans="1:11" x14ac:dyDescent="0.2">
      <c r="A333" s="1">
        <v>1762</v>
      </c>
      <c r="B333" s="1">
        <v>836</v>
      </c>
      <c r="C333" s="1">
        <v>792.5</v>
      </c>
      <c r="D333" s="1">
        <v>600</v>
      </c>
      <c r="E333" s="1">
        <f t="shared" si="31"/>
        <v>2228.5</v>
      </c>
    </row>
    <row r="334" spans="1:11" x14ac:dyDescent="0.2">
      <c r="B334" s="1">
        <f>SUM(B327:B333)</f>
        <v>8278</v>
      </c>
      <c r="C334" s="1">
        <f t="shared" ref="C334:D334" si="32">SUM(C327:C333)</f>
        <v>6182</v>
      </c>
      <c r="D334" s="1">
        <f t="shared" si="32"/>
        <v>6402.5</v>
      </c>
      <c r="E334" s="1">
        <f t="shared" si="31"/>
        <v>20862.5</v>
      </c>
    </row>
    <row r="336" spans="1:11" x14ac:dyDescent="0.2">
      <c r="A336" s="1" t="s">
        <v>14</v>
      </c>
    </row>
    <row r="337" spans="1:12" x14ac:dyDescent="0.2">
      <c r="B337" s="1" t="s">
        <v>1</v>
      </c>
      <c r="C337" s="1" t="s">
        <v>2</v>
      </c>
      <c r="D337" s="1" t="s">
        <v>3</v>
      </c>
      <c r="E337" s="1" t="s">
        <v>15</v>
      </c>
      <c r="F337" s="1" t="s">
        <v>67</v>
      </c>
      <c r="G337" s="1" t="s">
        <v>17</v>
      </c>
    </row>
    <row r="338" spans="1:12" x14ac:dyDescent="0.2">
      <c r="B338" s="1">
        <v>145</v>
      </c>
      <c r="C338" s="1">
        <v>69</v>
      </c>
      <c r="D338" s="1">
        <v>128</v>
      </c>
      <c r="E338" s="1">
        <f>54+32+21+35+50</f>
        <v>192</v>
      </c>
      <c r="F338" s="1">
        <f>SUM(B338:E338)</f>
        <v>534</v>
      </c>
      <c r="G338" s="2">
        <f>SUM(B338:E338)/SUM(B338:D338)</f>
        <v>1.5614035087719298</v>
      </c>
    </row>
    <row r="339" spans="1:12" x14ac:dyDescent="0.2">
      <c r="L339" s="1" t="s">
        <v>25</v>
      </c>
    </row>
    <row r="340" spans="1:12" x14ac:dyDescent="0.2">
      <c r="A340" s="1" t="s">
        <v>8</v>
      </c>
      <c r="L340" s="1">
        <v>0</v>
      </c>
    </row>
    <row r="341" spans="1:12" x14ac:dyDescent="0.2">
      <c r="A341" s="1">
        <v>1756</v>
      </c>
      <c r="B341" s="1">
        <f t="shared" ref="B341:B347" si="33">(B327+C327+D327)*$G$338</f>
        <v>3380.4385964912281</v>
      </c>
      <c r="L341" s="1">
        <v>3</v>
      </c>
    </row>
    <row r="342" spans="1:12" x14ac:dyDescent="0.2">
      <c r="A342" s="1">
        <v>1757</v>
      </c>
      <c r="B342" s="1">
        <f t="shared" si="33"/>
        <v>10628.473684210527</v>
      </c>
      <c r="L342" s="1">
        <v>1</v>
      </c>
    </row>
    <row r="343" spans="1:12" x14ac:dyDescent="0.2">
      <c r="A343" s="1">
        <v>1758</v>
      </c>
      <c r="B343" s="1">
        <f t="shared" si="33"/>
        <v>5697.5614035087719</v>
      </c>
      <c r="L343" s="1">
        <v>0</v>
      </c>
    </row>
    <row r="344" spans="1:12" x14ac:dyDescent="0.2">
      <c r="A344" s="1">
        <v>1759</v>
      </c>
      <c r="B344" s="1">
        <f t="shared" si="33"/>
        <v>2858.9298245614036</v>
      </c>
      <c r="L344" s="1">
        <v>18</v>
      </c>
    </row>
    <row r="345" spans="1:12" x14ac:dyDescent="0.2">
      <c r="A345" s="1">
        <v>1760</v>
      </c>
      <c r="B345" s="1">
        <f t="shared" si="33"/>
        <v>3438.2105263157896</v>
      </c>
      <c r="L345" s="1">
        <v>42</v>
      </c>
    </row>
    <row r="346" spans="1:12" x14ac:dyDescent="0.2">
      <c r="A346" s="1">
        <v>1761</v>
      </c>
      <c r="B346" s="1">
        <f t="shared" si="33"/>
        <v>3091.5789473684208</v>
      </c>
      <c r="L346" s="1">
        <v>1</v>
      </c>
    </row>
    <row r="347" spans="1:12" x14ac:dyDescent="0.2">
      <c r="A347" s="1">
        <v>1762</v>
      </c>
      <c r="B347" s="1">
        <f t="shared" si="33"/>
        <v>3479.5877192982457</v>
      </c>
    </row>
    <row r="348" spans="1:12" x14ac:dyDescent="0.2">
      <c r="B348" s="1">
        <f>SUM(B341:B347)</f>
        <v>32574.780701754386</v>
      </c>
    </row>
    <row r="350" spans="1:12" x14ac:dyDescent="0.2">
      <c r="A350" s="1" t="s">
        <v>18</v>
      </c>
    </row>
    <row r="351" spans="1:12" x14ac:dyDescent="0.2">
      <c r="B351" s="1" t="s">
        <v>19</v>
      </c>
      <c r="C351" s="1" t="s">
        <v>23</v>
      </c>
      <c r="D351" s="1" t="s">
        <v>20</v>
      </c>
      <c r="E351" s="1" t="s">
        <v>16</v>
      </c>
      <c r="F351" s="1" t="s">
        <v>21</v>
      </c>
      <c r="G351" s="1" t="s">
        <v>22</v>
      </c>
      <c r="K351" s="1" t="s">
        <v>24</v>
      </c>
    </row>
    <row r="352" spans="1:12" x14ac:dyDescent="0.2">
      <c r="A352" s="1">
        <v>1756</v>
      </c>
      <c r="B352" s="1">
        <v>1182.06</v>
      </c>
      <c r="C352" s="1">
        <f t="shared" ref="C352:C358" si="34">(K352*F$359+L340*G$359)*$C$364</f>
        <v>1530.65412679474</v>
      </c>
      <c r="D352" s="1">
        <v>2217.3119999999999</v>
      </c>
      <c r="E352" s="1">
        <f>SUM(B352:D352)</f>
        <v>4930.0261267947399</v>
      </c>
      <c r="F352" s="1">
        <f>1841.163/44</f>
        <v>41.84461363636364</v>
      </c>
      <c r="G352" s="1">
        <f>46.9/9</f>
        <v>5.2111111111111112</v>
      </c>
      <c r="K352" s="1">
        <v>47</v>
      </c>
    </row>
    <row r="353" spans="1:14" s="3" customFormat="1" x14ac:dyDescent="0.2">
      <c r="A353" s="1">
        <v>1757</v>
      </c>
      <c r="B353" s="1">
        <v>1568.0419999999999</v>
      </c>
      <c r="C353" s="1">
        <f t="shared" si="34"/>
        <v>2490.7132768923552</v>
      </c>
      <c r="D353" s="1">
        <v>2662.0610000000001</v>
      </c>
      <c r="E353" s="1">
        <f t="shared" ref="E353:E359" si="35">SUM(B353:D353)</f>
        <v>6720.8162768923557</v>
      </c>
      <c r="F353" s="1">
        <f>1388.369/50</f>
        <v>27.767379999999999</v>
      </c>
      <c r="G353" s="1">
        <f>179.673/31</f>
        <v>5.7959032258064518</v>
      </c>
      <c r="H353" s="1"/>
      <c r="I353" s="1"/>
      <c r="J353" s="1"/>
      <c r="K353" s="1">
        <v>76</v>
      </c>
      <c r="L353" s="1"/>
      <c r="M353" s="1"/>
      <c r="N353" s="1"/>
    </row>
    <row r="354" spans="1:14" x14ac:dyDescent="0.2">
      <c r="A354" s="1">
        <v>1758</v>
      </c>
      <c r="B354" s="1">
        <v>2450.9899999999998</v>
      </c>
      <c r="C354" s="1">
        <f t="shared" si="34"/>
        <v>428.5767469683355</v>
      </c>
      <c r="D354" s="1">
        <v>865.28800000000001</v>
      </c>
      <c r="E354" s="1">
        <f t="shared" si="35"/>
        <v>3744.8547469683353</v>
      </c>
      <c r="F354" s="1">
        <f>1906.108/74</f>
        <v>25.758216216216216</v>
      </c>
      <c r="G354" s="1">
        <f>544.889/81</f>
        <v>6.7270246913580252</v>
      </c>
      <c r="K354" s="1">
        <v>13</v>
      </c>
    </row>
    <row r="355" spans="1:14" x14ac:dyDescent="0.2">
      <c r="A355" s="1">
        <v>1759</v>
      </c>
      <c r="B355" s="1">
        <v>2626.9</v>
      </c>
      <c r="C355" s="1">
        <f t="shared" si="34"/>
        <v>0</v>
      </c>
      <c r="D355" s="1">
        <v>1733.711</v>
      </c>
      <c r="E355" s="1">
        <f t="shared" si="35"/>
        <v>4360.6109999999999</v>
      </c>
      <c r="F355" s="1">
        <f>1807.506/47</f>
        <v>38.457574468085106</v>
      </c>
      <c r="G355" s="1">
        <f>819.399/102</f>
        <v>8.0333235294117653</v>
      </c>
      <c r="K355" s="1">
        <v>0</v>
      </c>
    </row>
    <row r="356" spans="1:14" x14ac:dyDescent="0.2">
      <c r="A356" s="1">
        <v>1760</v>
      </c>
      <c r="B356" s="1">
        <v>4335.57</v>
      </c>
      <c r="C356" s="1">
        <f t="shared" si="34"/>
        <v>1852.3018108969927</v>
      </c>
      <c r="D356" s="1">
        <v>2619.2510000000002</v>
      </c>
      <c r="E356" s="1">
        <f t="shared" si="35"/>
        <v>8807.1228108969917</v>
      </c>
      <c r="F356" s="1">
        <f>3840.059/33</f>
        <v>116.36542424242425</v>
      </c>
      <c r="G356" s="1">
        <f>495.514/50</f>
        <v>9.9102800000000002</v>
      </c>
      <c r="K356" s="1">
        <v>54</v>
      </c>
    </row>
    <row r="357" spans="1:14" x14ac:dyDescent="0.2">
      <c r="A357" s="1">
        <v>1761</v>
      </c>
      <c r="B357" s="1">
        <v>584.55600000000004</v>
      </c>
      <c r="C357" s="1">
        <f t="shared" si="34"/>
        <v>641.95423263612508</v>
      </c>
      <c r="D357" s="1">
        <v>3057.33</v>
      </c>
      <c r="E357" s="1">
        <f t="shared" si="35"/>
        <v>4283.8402326361247</v>
      </c>
      <c r="F357" s="1">
        <f>542.314/21</f>
        <v>25.82447619047619</v>
      </c>
      <c r="G357" s="1">
        <f>42.242/9</f>
        <v>4.6935555555555553</v>
      </c>
      <c r="K357" s="1">
        <v>13</v>
      </c>
    </row>
    <row r="358" spans="1:14" x14ac:dyDescent="0.2">
      <c r="A358" s="1">
        <v>1762</v>
      </c>
      <c r="B358" s="1">
        <v>352.976</v>
      </c>
      <c r="C358" s="1">
        <f t="shared" si="34"/>
        <v>493.71096512981376</v>
      </c>
      <c r="D358" s="1">
        <v>1925.9179999999999</v>
      </c>
      <c r="E358" s="1">
        <f t="shared" si="35"/>
        <v>2772.6049651298135</v>
      </c>
      <c r="F358" s="1">
        <f>139.71/5</f>
        <v>27.942</v>
      </c>
      <c r="G358" s="1">
        <f>213.266/26</f>
        <v>8.2025384615384613</v>
      </c>
      <c r="K358" s="1">
        <v>15</v>
      </c>
    </row>
    <row r="359" spans="1:14" x14ac:dyDescent="0.2">
      <c r="B359" s="1">
        <f>SUM(B352:B358)</f>
        <v>13101.094000000001</v>
      </c>
      <c r="C359" s="1">
        <f t="shared" ref="C359:D359" si="36">SUM(C352:C358)</f>
        <v>7437.9111593183625</v>
      </c>
      <c r="D359" s="1">
        <f t="shared" si="36"/>
        <v>15080.870999999999</v>
      </c>
      <c r="E359" s="1">
        <f t="shared" si="35"/>
        <v>35619.876159318359</v>
      </c>
      <c r="F359" s="1">
        <f>AVERAGE(F352:F358)</f>
        <v>43.422812107652199</v>
      </c>
      <c r="G359" s="1">
        <f>AVERAGE(G352:G358)</f>
        <v>6.9391052249687677</v>
      </c>
    </row>
    <row r="360" spans="1:14" x14ac:dyDescent="0.2">
      <c r="B360" s="2">
        <f>B359/B334</f>
        <v>1.5826400096641702</v>
      </c>
      <c r="C360" s="2">
        <f t="shared" ref="C360:D360" si="37">C359/C334</f>
        <v>1.2031561241213786</v>
      </c>
      <c r="D360" s="2">
        <f t="shared" si="37"/>
        <v>2.3554659898477155</v>
      </c>
    </row>
    <row r="361" spans="1:14" x14ac:dyDescent="0.2">
      <c r="C361" s="1" t="s">
        <v>26</v>
      </c>
    </row>
    <row r="362" spans="1:14" x14ac:dyDescent="0.2">
      <c r="C362" s="1" t="s">
        <v>27</v>
      </c>
    </row>
    <row r="363" spans="1:14" x14ac:dyDescent="0.2">
      <c r="C363" s="1" t="s">
        <v>28</v>
      </c>
    </row>
    <row r="364" spans="1:14" x14ac:dyDescent="0.2">
      <c r="C364" s="2">
        <v>0.75</v>
      </c>
    </row>
    <row r="366" spans="1:14" x14ac:dyDescent="0.2">
      <c r="A366" s="1" t="s">
        <v>8</v>
      </c>
      <c r="C366" s="1" t="s">
        <v>29</v>
      </c>
      <c r="D366" s="1" t="s">
        <v>42</v>
      </c>
    </row>
    <row r="367" spans="1:14" x14ac:dyDescent="0.2">
      <c r="A367" s="1">
        <v>1756</v>
      </c>
      <c r="B367" s="1">
        <f t="shared" ref="B367:B373" si="38">B341*E352/E327</f>
        <v>7697.7600927145941</v>
      </c>
      <c r="C367" s="2">
        <f t="shared" ref="C367:C374" si="39">B367/B341</f>
        <v>2.2771483264640833</v>
      </c>
      <c r="D367" s="1">
        <f>$A$377*B367/$B$374</f>
        <v>1245.659444257926</v>
      </c>
      <c r="L367" s="3"/>
      <c r="M367" s="3"/>
      <c r="N367" s="3"/>
    </row>
    <row r="368" spans="1:14" x14ac:dyDescent="0.2">
      <c r="A368" s="1">
        <v>1757</v>
      </c>
      <c r="B368" s="1">
        <f t="shared" si="38"/>
        <v>10493.906116551223</v>
      </c>
      <c r="C368" s="2">
        <f>B368/B342</f>
        <v>0.98733895649953818</v>
      </c>
      <c r="D368" s="1">
        <f t="shared" ref="D368:D373" si="40">$A$377*B368/$B$374</f>
        <v>1698.1346656424962</v>
      </c>
    </row>
    <row r="369" spans="1:11" x14ac:dyDescent="0.2">
      <c r="A369" s="1">
        <v>1758</v>
      </c>
      <c r="B369" s="1">
        <f t="shared" si="38"/>
        <v>5847.2293417575765</v>
      </c>
      <c r="C369" s="2">
        <f t="shared" si="39"/>
        <v>1.0262687714355536</v>
      </c>
      <c r="D369" s="1">
        <f t="shared" si="40"/>
        <v>946.20465753354233</v>
      </c>
    </row>
    <row r="370" spans="1:11" x14ac:dyDescent="0.2">
      <c r="A370" s="1">
        <v>1759</v>
      </c>
      <c r="B370" s="1">
        <f t="shared" si="38"/>
        <v>6808.6733157894741</v>
      </c>
      <c r="C370" s="2">
        <f t="shared" si="39"/>
        <v>2.3815461496450028</v>
      </c>
      <c r="D370" s="1">
        <f t="shared" si="40"/>
        <v>1101.7865088712038</v>
      </c>
    </row>
    <row r="371" spans="1:11" x14ac:dyDescent="0.2">
      <c r="A371" s="1">
        <v>1760</v>
      </c>
      <c r="B371" s="1">
        <f t="shared" si="38"/>
        <v>13751.472459119865</v>
      </c>
      <c r="C371" s="2">
        <f t="shared" si="39"/>
        <v>3.9996016398260634</v>
      </c>
      <c r="D371" s="1">
        <f t="shared" si="40"/>
        <v>2225.2773969102354</v>
      </c>
    </row>
    <row r="372" spans="1:11" x14ac:dyDescent="0.2">
      <c r="A372" s="1">
        <v>1761</v>
      </c>
      <c r="B372" s="1">
        <f t="shared" si="38"/>
        <v>6688.8031702564049</v>
      </c>
      <c r="C372" s="2">
        <f t="shared" si="39"/>
        <v>2.1635556730485477</v>
      </c>
      <c r="D372" s="1">
        <f t="shared" si="40"/>
        <v>1082.3889988073142</v>
      </c>
    </row>
    <row r="373" spans="1:11" x14ac:dyDescent="0.2">
      <c r="A373" s="1">
        <v>1762</v>
      </c>
      <c r="B373" s="1">
        <f t="shared" si="38"/>
        <v>4329.1551209921654</v>
      </c>
      <c r="C373" s="2">
        <f t="shared" si="39"/>
        <v>1.2441574894008587</v>
      </c>
      <c r="D373" s="1">
        <f t="shared" si="40"/>
        <v>700.54832797728193</v>
      </c>
    </row>
    <row r="374" spans="1:11" x14ac:dyDescent="0.2">
      <c r="B374" s="1">
        <f>SUM(B367:B373)</f>
        <v>55616.999617181304</v>
      </c>
      <c r="C374" s="2">
        <f t="shared" si="39"/>
        <v>1.7073637464023181</v>
      </c>
      <c r="D374" s="1">
        <f>SUM(D367:D373)</f>
        <v>9000</v>
      </c>
    </row>
    <row r="375" spans="1:11" x14ac:dyDescent="0.2">
      <c r="C375" s="2"/>
    </row>
    <row r="376" spans="1:11" x14ac:dyDescent="0.2">
      <c r="A376" s="1" t="s">
        <v>41</v>
      </c>
      <c r="C376" s="2"/>
    </row>
    <row r="377" spans="1:11" x14ac:dyDescent="0.2">
      <c r="A377" s="1">
        <v>9000</v>
      </c>
      <c r="C377" s="2"/>
    </row>
    <row r="379" spans="1:1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1" t="s">
        <v>30</v>
      </c>
    </row>
    <row r="381" spans="1:11" x14ac:dyDescent="0.2">
      <c r="A381" s="1">
        <v>40000</v>
      </c>
    </row>
    <row r="382" spans="1:11" x14ac:dyDescent="0.2">
      <c r="A382" s="1" t="s">
        <v>31</v>
      </c>
    </row>
    <row r="383" spans="1:11" x14ac:dyDescent="0.2">
      <c r="A383" s="1">
        <v>35000</v>
      </c>
    </row>
    <row r="385" spans="1:4" x14ac:dyDescent="0.2">
      <c r="A385" s="1" t="s">
        <v>32</v>
      </c>
    </row>
    <row r="386" spans="1:4" x14ac:dyDescent="0.2">
      <c r="B386" s="1" t="s">
        <v>1</v>
      </c>
      <c r="C386" s="1" t="s">
        <v>33</v>
      </c>
      <c r="D386" s="1" t="s">
        <v>2</v>
      </c>
    </row>
    <row r="387" spans="1:4" x14ac:dyDescent="0.2">
      <c r="B387" s="1">
        <v>19000</v>
      </c>
      <c r="C387" s="1">
        <v>1000</v>
      </c>
      <c r="D387" s="1">
        <v>3000</v>
      </c>
    </row>
    <row r="388" spans="1:4" x14ac:dyDescent="0.2">
      <c r="A388" s="1" t="s">
        <v>34</v>
      </c>
    </row>
    <row r="389" spans="1:4" x14ac:dyDescent="0.2">
      <c r="B389" s="1" t="s">
        <v>1</v>
      </c>
      <c r="C389" s="1" t="s">
        <v>33</v>
      </c>
      <c r="D389" s="1" t="s">
        <v>2</v>
      </c>
    </row>
    <row r="390" spans="1:4" x14ac:dyDescent="0.2">
      <c r="B390" s="1">
        <f>18000+7576</f>
        <v>25576</v>
      </c>
      <c r="C390" s="1">
        <v>2032.0550000000001</v>
      </c>
      <c r="D390" s="1">
        <v>5362.8789999999999</v>
      </c>
    </row>
    <row r="391" spans="1:4" x14ac:dyDescent="0.2">
      <c r="A391" s="1" t="s">
        <v>35</v>
      </c>
    </row>
    <row r="392" spans="1:4" x14ac:dyDescent="0.2">
      <c r="B392" s="1">
        <f>A381*(B387+C387+D387)/(B390+C390+D390)</f>
        <v>27903.36482430252</v>
      </c>
      <c r="C392" s="2">
        <f>A381/B392</f>
        <v>1.4335188695652175</v>
      </c>
    </row>
    <row r="394" spans="1:4" x14ac:dyDescent="0.2">
      <c r="A394" s="1" t="s">
        <v>36</v>
      </c>
    </row>
    <row r="395" spans="1:4" x14ac:dyDescent="0.2">
      <c r="A395" s="1">
        <v>1778</v>
      </c>
      <c r="B395" s="1">
        <v>20</v>
      </c>
    </row>
    <row r="396" spans="1:4" x14ac:dyDescent="0.2">
      <c r="A396" s="1">
        <v>1779</v>
      </c>
      <c r="B396" s="1">
        <v>29</v>
      </c>
    </row>
    <row r="397" spans="1:4" x14ac:dyDescent="0.2">
      <c r="A397" s="1">
        <v>1780</v>
      </c>
      <c r="B397" s="1">
        <v>46</v>
      </c>
    </row>
    <row r="398" spans="1:4" x14ac:dyDescent="0.2">
      <c r="A398" s="1">
        <v>1781</v>
      </c>
      <c r="B398" s="1">
        <v>47</v>
      </c>
    </row>
    <row r="399" spans="1:4" x14ac:dyDescent="0.2">
      <c r="A399" s="1">
        <v>1782</v>
      </c>
      <c r="B399" s="1">
        <v>53</v>
      </c>
    </row>
    <row r="400" spans="1:4" x14ac:dyDescent="0.2">
      <c r="A400" s="1">
        <v>1783</v>
      </c>
      <c r="B400" s="1">
        <v>3</v>
      </c>
    </row>
    <row r="401" spans="1:14" x14ac:dyDescent="0.2">
      <c r="B401" s="1">
        <f>SUM(B395:B400)</f>
        <v>198</v>
      </c>
    </row>
    <row r="402" spans="1:14" x14ac:dyDescent="0.2">
      <c r="A402" s="1" t="s">
        <v>37</v>
      </c>
    </row>
    <row r="403" spans="1:14" x14ac:dyDescent="0.2">
      <c r="A403" s="1">
        <v>1778</v>
      </c>
      <c r="B403" s="1">
        <f>B395/$B$401*$A$381</f>
        <v>4040.4040404040402</v>
      </c>
    </row>
    <row r="404" spans="1:14" x14ac:dyDescent="0.2">
      <c r="A404" s="1">
        <v>1779</v>
      </c>
      <c r="B404" s="1">
        <f t="shared" ref="B404:B408" si="41">B396/$B$401*$A$381</f>
        <v>5858.5858585858587</v>
      </c>
    </row>
    <row r="405" spans="1:14" x14ac:dyDescent="0.2">
      <c r="A405" s="1">
        <v>1780</v>
      </c>
      <c r="B405" s="1">
        <f t="shared" si="41"/>
        <v>9292.9292929292933</v>
      </c>
    </row>
    <row r="406" spans="1:14" x14ac:dyDescent="0.2">
      <c r="A406" s="1">
        <v>1781</v>
      </c>
      <c r="B406" s="1">
        <f t="shared" si="41"/>
        <v>9494.9494949494947</v>
      </c>
    </row>
    <row r="407" spans="1:14" x14ac:dyDescent="0.2">
      <c r="A407" s="1">
        <v>1782</v>
      </c>
      <c r="B407" s="1">
        <f t="shared" si="41"/>
        <v>10707.070707070707</v>
      </c>
    </row>
    <row r="408" spans="1:14" x14ac:dyDescent="0.2">
      <c r="A408" s="1">
        <v>1783</v>
      </c>
      <c r="B408" s="1">
        <f t="shared" si="41"/>
        <v>606.06060606060612</v>
      </c>
    </row>
    <row r="409" spans="1:14" x14ac:dyDescent="0.2">
      <c r="B409" s="1">
        <f>SUM(B403:B408)</f>
        <v>40000</v>
      </c>
    </row>
    <row r="410" spans="1:14" x14ac:dyDescent="0.2">
      <c r="A410" s="1" t="s">
        <v>38</v>
      </c>
    </row>
    <row r="411" spans="1:14" x14ac:dyDescent="0.2">
      <c r="A411" s="1">
        <v>1778</v>
      </c>
      <c r="B411" s="1">
        <f>B395/$B$401*$B$392</f>
        <v>2818.521699424497</v>
      </c>
    </row>
    <row r="412" spans="1:14" x14ac:dyDescent="0.2">
      <c r="A412" s="1">
        <v>1779</v>
      </c>
      <c r="B412" s="1">
        <f t="shared" ref="B412:B416" si="42">B396/$B$401*$B$392</f>
        <v>4086.8564641655207</v>
      </c>
    </row>
    <row r="413" spans="1:14" s="3" customFormat="1" x14ac:dyDescent="0.2">
      <c r="A413" s="1">
        <v>1780</v>
      </c>
      <c r="B413" s="1">
        <f t="shared" si="42"/>
        <v>6482.5999086763431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>
        <v>1781</v>
      </c>
      <c r="B414" s="1">
        <f t="shared" si="42"/>
        <v>6623.5259936475677</v>
      </c>
    </row>
    <row r="415" spans="1:14" x14ac:dyDescent="0.2">
      <c r="A415" s="1">
        <v>1782</v>
      </c>
      <c r="B415" s="1">
        <f t="shared" si="42"/>
        <v>7469.0825034749168</v>
      </c>
    </row>
    <row r="416" spans="1:14" x14ac:dyDescent="0.2">
      <c r="A416" s="1">
        <v>1783</v>
      </c>
      <c r="B416" s="1">
        <f t="shared" si="42"/>
        <v>422.77825491367457</v>
      </c>
    </row>
    <row r="418" spans="1:14" x14ac:dyDescent="0.2">
      <c r="A418" s="1" t="s">
        <v>39</v>
      </c>
    </row>
    <row r="420" spans="1:14" x14ac:dyDescent="0.2">
      <c r="A420" s="1">
        <v>1778</v>
      </c>
      <c r="B420" s="1">
        <f>215</f>
        <v>215</v>
      </c>
    </row>
    <row r="421" spans="1:14" x14ac:dyDescent="0.2">
      <c r="A421" s="1">
        <v>1779</v>
      </c>
      <c r="B421" s="1">
        <v>94</v>
      </c>
    </row>
    <row r="422" spans="1:14" x14ac:dyDescent="0.2">
      <c r="A422" s="1">
        <v>1780</v>
      </c>
      <c r="B422" s="1">
        <v>114</v>
      </c>
    </row>
    <row r="423" spans="1:14" x14ac:dyDescent="0.2">
      <c r="A423" s="1">
        <v>1781</v>
      </c>
      <c r="B423" s="1">
        <v>195</v>
      </c>
    </row>
    <row r="424" spans="1:14" x14ac:dyDescent="0.2">
      <c r="A424" s="1">
        <v>1782</v>
      </c>
      <c r="B424" s="1">
        <v>69</v>
      </c>
    </row>
    <row r="425" spans="1:14" x14ac:dyDescent="0.2">
      <c r="A425" s="1">
        <v>1783</v>
      </c>
      <c r="B425" s="1">
        <v>4</v>
      </c>
    </row>
    <row r="426" spans="1:14" x14ac:dyDescent="0.2">
      <c r="B426" s="1">
        <f>SUM(B420:B425)</f>
        <v>691</v>
      </c>
    </row>
    <row r="427" spans="1:14" x14ac:dyDescent="0.2">
      <c r="L427" s="3"/>
      <c r="M427" s="3"/>
      <c r="N427" s="3"/>
    </row>
    <row r="428" spans="1:14" x14ac:dyDescent="0.2">
      <c r="A428" s="1" t="s">
        <v>40</v>
      </c>
    </row>
    <row r="429" spans="1:14" x14ac:dyDescent="0.2">
      <c r="A429" s="1">
        <v>1778</v>
      </c>
      <c r="B429" s="1">
        <f>$A$383/$B$426*B420</f>
        <v>10890.014471780029</v>
      </c>
    </row>
    <row r="430" spans="1:14" x14ac:dyDescent="0.2">
      <c r="A430" s="1">
        <v>1779</v>
      </c>
      <c r="B430" s="1">
        <f t="shared" ref="B430:B434" si="43">$A$383/$B$426*B421</f>
        <v>4761.2156295224313</v>
      </c>
    </row>
    <row r="431" spans="1:14" x14ac:dyDescent="0.2">
      <c r="A431" s="1">
        <v>1780</v>
      </c>
      <c r="B431" s="1">
        <f t="shared" si="43"/>
        <v>5774.2402315484806</v>
      </c>
    </row>
    <row r="432" spans="1:14" x14ac:dyDescent="0.2">
      <c r="A432" s="1">
        <v>1781</v>
      </c>
      <c r="B432" s="1">
        <f t="shared" si="43"/>
        <v>9876.9898697539793</v>
      </c>
    </row>
    <row r="433" spans="1:11" x14ac:dyDescent="0.2">
      <c r="A433" s="1">
        <v>1782</v>
      </c>
      <c r="B433" s="1">
        <f t="shared" si="43"/>
        <v>3494.9348769898697</v>
      </c>
    </row>
    <row r="434" spans="1:11" x14ac:dyDescent="0.2">
      <c r="A434" s="1">
        <v>1783</v>
      </c>
      <c r="B434" s="1">
        <f t="shared" si="43"/>
        <v>202.60492040520984</v>
      </c>
      <c r="D434" s="1" t="s">
        <v>56</v>
      </c>
    </row>
    <row r="435" spans="1:11" x14ac:dyDescent="0.2">
      <c r="B435" s="1">
        <f>SUM(B429:B434)</f>
        <v>35000</v>
      </c>
      <c r="D435" s="2">
        <f>B409/(B409+B435)</f>
        <v>0.53333333333333333</v>
      </c>
    </row>
    <row r="439" spans="1:1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1" t="s">
        <v>44</v>
      </c>
    </row>
    <row r="441" spans="1:11" x14ac:dyDescent="0.2">
      <c r="A441" s="1" t="s">
        <v>45</v>
      </c>
    </row>
    <row r="442" spans="1:11" x14ac:dyDescent="0.2">
      <c r="A442" s="1">
        <v>1793</v>
      </c>
      <c r="B442" s="1">
        <v>352</v>
      </c>
    </row>
    <row r="443" spans="1:11" x14ac:dyDescent="0.2">
      <c r="A443" s="1">
        <v>1794</v>
      </c>
      <c r="B443" s="1">
        <v>644</v>
      </c>
    </row>
    <row r="444" spans="1:11" x14ac:dyDescent="0.2">
      <c r="A444" s="1">
        <v>1795</v>
      </c>
      <c r="B444" s="1">
        <v>640</v>
      </c>
    </row>
    <row r="445" spans="1:11" x14ac:dyDescent="0.2">
      <c r="A445" s="1">
        <v>1796</v>
      </c>
      <c r="B445" s="1">
        <v>489</v>
      </c>
    </row>
    <row r="446" spans="1:11" x14ac:dyDescent="0.2">
      <c r="A446" s="1">
        <v>1797</v>
      </c>
      <c r="B446" s="1">
        <v>949</v>
      </c>
    </row>
    <row r="447" spans="1:11" x14ac:dyDescent="0.2">
      <c r="A447" s="1">
        <v>1798</v>
      </c>
      <c r="B447" s="1">
        <v>688</v>
      </c>
    </row>
    <row r="448" spans="1:11" x14ac:dyDescent="0.2">
      <c r="A448" s="1">
        <v>1799</v>
      </c>
      <c r="B448" s="1">
        <v>730</v>
      </c>
    </row>
    <row r="449" spans="1:2" x14ac:dyDescent="0.2">
      <c r="A449" s="1">
        <v>1800</v>
      </c>
      <c r="B449" s="1">
        <v>666</v>
      </c>
    </row>
    <row r="450" spans="1:2" x14ac:dyDescent="0.2">
      <c r="A450" s="1">
        <v>1801</v>
      </c>
      <c r="B450" s="1">
        <v>399</v>
      </c>
    </row>
    <row r="451" spans="1:2" x14ac:dyDescent="0.2">
      <c r="A451" s="1">
        <v>1802</v>
      </c>
      <c r="B451" s="1">
        <v>0</v>
      </c>
    </row>
    <row r="452" spans="1:2" x14ac:dyDescent="0.2">
      <c r="A452" s="1">
        <v>1803</v>
      </c>
      <c r="B452" s="1">
        <v>222</v>
      </c>
    </row>
    <row r="453" spans="1:2" x14ac:dyDescent="0.2">
      <c r="A453" s="1">
        <v>1804</v>
      </c>
      <c r="B453" s="1">
        <v>387</v>
      </c>
    </row>
    <row r="454" spans="1:2" x14ac:dyDescent="0.2">
      <c r="A454" s="1">
        <v>1805</v>
      </c>
      <c r="B454" s="1">
        <v>507</v>
      </c>
    </row>
    <row r="455" spans="1:2" x14ac:dyDescent="0.2">
      <c r="A455" s="1">
        <v>1806</v>
      </c>
      <c r="B455" s="1">
        <v>519</v>
      </c>
    </row>
    <row r="456" spans="1:2" x14ac:dyDescent="0.2">
      <c r="A456" s="1">
        <v>1807</v>
      </c>
      <c r="B456" s="1">
        <v>559</v>
      </c>
    </row>
    <row r="457" spans="1:2" x14ac:dyDescent="0.2">
      <c r="A457" s="1">
        <v>1808</v>
      </c>
      <c r="B457" s="1">
        <v>469</v>
      </c>
    </row>
    <row r="458" spans="1:2" x14ac:dyDescent="0.2">
      <c r="A458" s="1">
        <v>1809</v>
      </c>
      <c r="B458" s="1">
        <v>571</v>
      </c>
    </row>
    <row r="459" spans="1:2" x14ac:dyDescent="0.2">
      <c r="A459" s="1">
        <v>1810</v>
      </c>
      <c r="B459" s="1">
        <v>619</v>
      </c>
    </row>
    <row r="460" spans="1:2" x14ac:dyDescent="0.2">
      <c r="A460" s="1">
        <v>1811</v>
      </c>
      <c r="B460" s="1">
        <v>470</v>
      </c>
    </row>
    <row r="461" spans="1:2" x14ac:dyDescent="0.2">
      <c r="A461" s="1">
        <v>1812</v>
      </c>
      <c r="B461" s="1">
        <v>475</v>
      </c>
    </row>
    <row r="462" spans="1:2" x14ac:dyDescent="0.2">
      <c r="A462" s="1">
        <v>1813</v>
      </c>
      <c r="B462" s="1">
        <v>371</v>
      </c>
    </row>
    <row r="463" spans="1:2" x14ac:dyDescent="0.2">
      <c r="A463" s="1">
        <v>1814</v>
      </c>
      <c r="B463" s="1">
        <v>145</v>
      </c>
    </row>
    <row r="466" spans="1:4" x14ac:dyDescent="0.2">
      <c r="A466" s="1" t="s">
        <v>46</v>
      </c>
    </row>
    <row r="467" spans="1:4" x14ac:dyDescent="0.2">
      <c r="B467" s="1" t="s">
        <v>47</v>
      </c>
    </row>
    <row r="468" spans="1:4" x14ac:dyDescent="0.2">
      <c r="A468" s="1">
        <v>1793</v>
      </c>
      <c r="B468" s="1">
        <v>132</v>
      </c>
    </row>
    <row r="469" spans="1:4" x14ac:dyDescent="0.2">
      <c r="A469" s="1">
        <v>1794</v>
      </c>
    </row>
    <row r="470" spans="1:4" x14ac:dyDescent="0.2">
      <c r="A470" s="1">
        <v>1795</v>
      </c>
    </row>
    <row r="471" spans="1:4" x14ac:dyDescent="0.2">
      <c r="A471" s="1">
        <v>1796</v>
      </c>
      <c r="B471" s="1">
        <v>45</v>
      </c>
    </row>
    <row r="472" spans="1:4" x14ac:dyDescent="0.2">
      <c r="A472" s="1">
        <v>1797</v>
      </c>
      <c r="B472" s="1">
        <v>145</v>
      </c>
    </row>
    <row r="473" spans="1:4" x14ac:dyDescent="0.2">
      <c r="A473" s="1">
        <v>1798</v>
      </c>
      <c r="B473" s="1">
        <v>144</v>
      </c>
    </row>
    <row r="474" spans="1:4" x14ac:dyDescent="0.2">
      <c r="A474" s="1">
        <v>1799</v>
      </c>
      <c r="B474" s="1">
        <v>117</v>
      </c>
    </row>
    <row r="475" spans="1:4" x14ac:dyDescent="0.2">
      <c r="A475" s="1">
        <v>1800</v>
      </c>
      <c r="B475" s="1">
        <v>87</v>
      </c>
    </row>
    <row r="476" spans="1:4" x14ac:dyDescent="0.2">
      <c r="A476" s="1">
        <v>1801</v>
      </c>
      <c r="B476" s="1">
        <v>55</v>
      </c>
    </row>
    <row r="478" spans="1:4" x14ac:dyDescent="0.2">
      <c r="A478" s="1" t="s">
        <v>48</v>
      </c>
    </row>
    <row r="479" spans="1:4" x14ac:dyDescent="0.2">
      <c r="A479" s="1" t="s">
        <v>49</v>
      </c>
      <c r="D479" s="1">
        <f>19000/198</f>
        <v>95.959595959595958</v>
      </c>
    </row>
    <row r="482" spans="1:9" x14ac:dyDescent="0.2">
      <c r="B482" s="1" t="s">
        <v>50</v>
      </c>
      <c r="C482" s="1" t="s">
        <v>51</v>
      </c>
      <c r="D482" s="1" t="s">
        <v>53</v>
      </c>
      <c r="E482" s="1" t="s">
        <v>57</v>
      </c>
      <c r="H482" s="1" t="s">
        <v>52</v>
      </c>
      <c r="I482" s="1">
        <f>SUM(C483:C491)/(SUM(B442:B450)-B443-B444)</f>
        <v>24.225126676157274</v>
      </c>
    </row>
    <row r="483" spans="1:9" x14ac:dyDescent="0.2">
      <c r="A483" s="1">
        <v>1793</v>
      </c>
      <c r="B483" s="1">
        <f>B468*$D$479</f>
        <v>12666.666666666666</v>
      </c>
      <c r="C483" s="1">
        <f>B483*$C$392</f>
        <v>18157.90568115942</v>
      </c>
      <c r="D483" s="1">
        <f>B442*$I$482</f>
        <v>8527.2445900073599</v>
      </c>
      <c r="E483" s="1">
        <f>D483/$C$392*$D$435</f>
        <v>3172.5175565471377</v>
      </c>
    </row>
    <row r="484" spans="1:9" x14ac:dyDescent="0.2">
      <c r="A484" s="1">
        <v>1794</v>
      </c>
      <c r="D484" s="1">
        <f t="shared" ref="D484:D504" si="44">B443*$I$482</f>
        <v>15600.981579445284</v>
      </c>
      <c r="E484" s="1">
        <f t="shared" ref="E484:E504" si="45">D484/$C$392*$D$435</f>
        <v>5804.2650750464682</v>
      </c>
    </row>
    <row r="485" spans="1:9" x14ac:dyDescent="0.2">
      <c r="A485" s="1">
        <v>1795</v>
      </c>
      <c r="D485" s="1">
        <f t="shared" si="44"/>
        <v>15504.081072740655</v>
      </c>
      <c r="E485" s="1">
        <f t="shared" si="45"/>
        <v>5768.2137391766146</v>
      </c>
    </row>
    <row r="486" spans="1:9" x14ac:dyDescent="0.2">
      <c r="A486" s="1">
        <v>1796</v>
      </c>
      <c r="B486" s="1">
        <f t="shared" ref="B486:B491" si="46">B471*$D$479</f>
        <v>4318.181818181818</v>
      </c>
      <c r="C486" s="1">
        <f>B486*1.5</f>
        <v>6477.272727272727</v>
      </c>
      <c r="D486" s="1">
        <f t="shared" si="44"/>
        <v>11846.086944640907</v>
      </c>
      <c r="E486" s="1">
        <f t="shared" si="45"/>
        <v>4407.2758100896317</v>
      </c>
    </row>
    <row r="487" spans="1:9" x14ac:dyDescent="0.2">
      <c r="A487" s="1">
        <v>1797</v>
      </c>
      <c r="B487" s="1">
        <f t="shared" si="46"/>
        <v>13914.141414141413</v>
      </c>
      <c r="C487" s="1">
        <f t="shared" ref="C487:C491" si="47">B487*1.5</f>
        <v>20871.21212121212</v>
      </c>
      <c r="D487" s="1">
        <f t="shared" si="44"/>
        <v>22989.645215673252</v>
      </c>
      <c r="E487" s="1">
        <f t="shared" si="45"/>
        <v>8553.1794351228236</v>
      </c>
    </row>
    <row r="488" spans="1:9" x14ac:dyDescent="0.2">
      <c r="A488" s="1">
        <v>1798</v>
      </c>
      <c r="B488" s="1">
        <f t="shared" si="46"/>
        <v>13818.181818181818</v>
      </c>
      <c r="C488" s="1">
        <f t="shared" si="47"/>
        <v>20727.272727272728</v>
      </c>
      <c r="D488" s="1">
        <f t="shared" si="44"/>
        <v>16666.887153196203</v>
      </c>
      <c r="E488" s="1">
        <f t="shared" si="45"/>
        <v>6200.8297696148602</v>
      </c>
    </row>
    <row r="489" spans="1:9" x14ac:dyDescent="0.2">
      <c r="A489" s="1">
        <v>1799</v>
      </c>
      <c r="B489" s="1">
        <f t="shared" si="46"/>
        <v>11227.272727272728</v>
      </c>
      <c r="C489" s="1">
        <f t="shared" si="47"/>
        <v>16840.909090909092</v>
      </c>
      <c r="D489" s="1">
        <f t="shared" si="44"/>
        <v>17684.34247359481</v>
      </c>
      <c r="E489" s="1">
        <f t="shared" si="45"/>
        <v>6579.3687962483255</v>
      </c>
    </row>
    <row r="490" spans="1:9" x14ac:dyDescent="0.2">
      <c r="A490" s="1">
        <v>1800</v>
      </c>
      <c r="B490" s="1">
        <f t="shared" si="46"/>
        <v>8348.484848484848</v>
      </c>
      <c r="C490" s="1">
        <f t="shared" si="47"/>
        <v>12522.727272727272</v>
      </c>
      <c r="D490" s="1">
        <f t="shared" si="44"/>
        <v>16133.934366320744</v>
      </c>
      <c r="E490" s="1">
        <f t="shared" si="45"/>
        <v>6002.5474223306637</v>
      </c>
    </row>
    <row r="491" spans="1:9" x14ac:dyDescent="0.2">
      <c r="A491" s="1">
        <v>1801</v>
      </c>
      <c r="B491" s="1">
        <f t="shared" si="46"/>
        <v>5277.7777777777774</v>
      </c>
      <c r="C491" s="1">
        <f t="shared" si="47"/>
        <v>7916.6666666666661</v>
      </c>
      <c r="D491" s="1">
        <f t="shared" si="44"/>
        <v>9665.825543786752</v>
      </c>
      <c r="E491" s="1">
        <f t="shared" si="45"/>
        <v>3596.1207530179199</v>
      </c>
    </row>
    <row r="492" spans="1:9" x14ac:dyDescent="0.2">
      <c r="A492" s="1">
        <v>1802</v>
      </c>
      <c r="D492" s="1">
        <f t="shared" si="44"/>
        <v>0</v>
      </c>
      <c r="E492" s="1">
        <f t="shared" si="45"/>
        <v>0</v>
      </c>
    </row>
    <row r="493" spans="1:9" x14ac:dyDescent="0.2">
      <c r="A493" s="1">
        <v>1803</v>
      </c>
      <c r="D493" s="1">
        <f t="shared" si="44"/>
        <v>5377.9781221069152</v>
      </c>
      <c r="E493" s="1">
        <f t="shared" si="45"/>
        <v>2000.8491407768881</v>
      </c>
    </row>
    <row r="494" spans="1:9" x14ac:dyDescent="0.2">
      <c r="A494" s="1">
        <v>1804</v>
      </c>
      <c r="D494" s="1">
        <f t="shared" si="44"/>
        <v>9375.1240236728645</v>
      </c>
      <c r="E494" s="1">
        <f t="shared" si="45"/>
        <v>3487.9667454083587</v>
      </c>
    </row>
    <row r="495" spans="1:9" x14ac:dyDescent="0.2">
      <c r="A495" s="1">
        <v>1805</v>
      </c>
      <c r="D495" s="1">
        <f t="shared" si="44"/>
        <v>12282.139224811737</v>
      </c>
      <c r="E495" s="1">
        <f t="shared" si="45"/>
        <v>4569.5068215039746</v>
      </c>
    </row>
    <row r="496" spans="1:9" x14ac:dyDescent="0.2">
      <c r="A496" s="1">
        <v>1806</v>
      </c>
      <c r="D496" s="1">
        <f t="shared" si="44"/>
        <v>12572.840744925625</v>
      </c>
      <c r="E496" s="1">
        <f t="shared" si="45"/>
        <v>4677.6608291135353</v>
      </c>
    </row>
    <row r="497" spans="1:5" x14ac:dyDescent="0.2">
      <c r="A497" s="1">
        <v>1807</v>
      </c>
      <c r="D497" s="1">
        <f t="shared" si="44"/>
        <v>13541.845811971916</v>
      </c>
      <c r="E497" s="1">
        <f t="shared" si="45"/>
        <v>5038.1741878120738</v>
      </c>
    </row>
    <row r="498" spans="1:5" x14ac:dyDescent="0.2">
      <c r="A498" s="1">
        <v>1808</v>
      </c>
      <c r="D498" s="1">
        <f t="shared" si="44"/>
        <v>11361.584411117761</v>
      </c>
      <c r="E498" s="1">
        <f t="shared" si="45"/>
        <v>4227.0191307403629</v>
      </c>
    </row>
    <row r="499" spans="1:5" x14ac:dyDescent="0.2">
      <c r="A499" s="1">
        <v>1809</v>
      </c>
      <c r="D499" s="1">
        <f t="shared" si="44"/>
        <v>13832.547332085804</v>
      </c>
      <c r="E499" s="1">
        <f t="shared" si="45"/>
        <v>5146.3281954216354</v>
      </c>
    </row>
    <row r="500" spans="1:5" x14ac:dyDescent="0.2">
      <c r="A500" s="1">
        <v>1810</v>
      </c>
      <c r="D500" s="1">
        <f t="shared" si="44"/>
        <v>14995.353412541352</v>
      </c>
      <c r="E500" s="1">
        <f t="shared" si="45"/>
        <v>5578.944225859882</v>
      </c>
    </row>
    <row r="501" spans="1:5" x14ac:dyDescent="0.2">
      <c r="A501" s="1">
        <v>1811</v>
      </c>
      <c r="D501" s="1">
        <f t="shared" si="44"/>
        <v>11385.809537793919</v>
      </c>
      <c r="E501" s="1">
        <f t="shared" si="45"/>
        <v>4236.0319647078259</v>
      </c>
    </row>
    <row r="502" spans="1:5" x14ac:dyDescent="0.2">
      <c r="A502" s="1">
        <v>1812</v>
      </c>
      <c r="D502" s="1">
        <f t="shared" si="44"/>
        <v>11506.935171174706</v>
      </c>
      <c r="E502" s="1">
        <f t="shared" si="45"/>
        <v>4281.0961345451433</v>
      </c>
    </row>
    <row r="503" spans="1:5" x14ac:dyDescent="0.2">
      <c r="A503" s="1">
        <v>1813</v>
      </c>
      <c r="D503" s="1">
        <f t="shared" si="44"/>
        <v>8987.5219968543479</v>
      </c>
      <c r="E503" s="1">
        <f t="shared" si="45"/>
        <v>3343.7614019289431</v>
      </c>
    </row>
    <row r="504" spans="1:5" x14ac:dyDescent="0.2">
      <c r="A504" s="1">
        <v>1814</v>
      </c>
      <c r="D504" s="1">
        <f t="shared" si="44"/>
        <v>3512.6433680428045</v>
      </c>
      <c r="E504" s="1">
        <f t="shared" si="45"/>
        <v>1306.8609252822016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2ADF-FFA8-0A46-9CC0-C7AD4F73CE98}">
  <dimension ref="A1:C128"/>
  <sheetViews>
    <sheetView topLeftCell="A24" workbookViewId="0">
      <selection activeCell="C16" sqref="C16"/>
    </sheetView>
  </sheetViews>
  <sheetFormatPr baseColWidth="10" defaultRowHeight="16" x14ac:dyDescent="0.2"/>
  <sheetData>
    <row r="1" spans="1:3" x14ac:dyDescent="0.2">
      <c r="A1" t="s">
        <v>54</v>
      </c>
      <c r="B1" t="s">
        <v>58</v>
      </c>
      <c r="C1" t="s">
        <v>55</v>
      </c>
    </row>
    <row r="2" spans="1:3" x14ac:dyDescent="0.2">
      <c r="A2">
        <v>1688</v>
      </c>
      <c r="B2" s="1">
        <f>Calcul!B101</f>
        <v>5798.3186460658508</v>
      </c>
      <c r="C2" s="1">
        <f>Calcul!B80</f>
        <v>3210.9924125976399</v>
      </c>
    </row>
    <row r="3" spans="1:3" x14ac:dyDescent="0.2">
      <c r="A3">
        <v>1689</v>
      </c>
      <c r="B3" s="1">
        <f>Calcul!B102</f>
        <v>12832.021692749689</v>
      </c>
      <c r="C3" s="1">
        <f>Calcul!B81</f>
        <v>7106.1158947627182</v>
      </c>
    </row>
    <row r="4" spans="1:3" x14ac:dyDescent="0.2">
      <c r="A4">
        <v>1690</v>
      </c>
      <c r="B4" s="1">
        <f>Calcul!B103</f>
        <v>15370.210518064847</v>
      </c>
      <c r="C4" s="1">
        <f>Calcul!B82</f>
        <v>8511.7138891669947</v>
      </c>
    </row>
    <row r="5" spans="1:3" x14ac:dyDescent="0.2">
      <c r="A5">
        <v>1691</v>
      </c>
      <c r="B5" s="1">
        <f>Calcul!B104</f>
        <v>14436.919901603727</v>
      </c>
      <c r="C5" s="1">
        <f>Calcul!B83</f>
        <v>7994.8762900056336</v>
      </c>
    </row>
    <row r="6" spans="1:3" x14ac:dyDescent="0.2">
      <c r="A6">
        <v>1692</v>
      </c>
      <c r="B6" s="1">
        <f>Calcul!B105</f>
        <v>22362.484080571085</v>
      </c>
      <c r="C6" s="1">
        <f>Calcul!B84</f>
        <v>12383.894555065433</v>
      </c>
    </row>
    <row r="7" spans="1:3" x14ac:dyDescent="0.2">
      <c r="A7">
        <v>1693</v>
      </c>
      <c r="B7" s="1">
        <f>Calcul!B106</f>
        <v>23466.066387560728</v>
      </c>
      <c r="C7" s="1">
        <f>Calcul!B85</f>
        <v>12995.036272298423</v>
      </c>
    </row>
    <row r="8" spans="1:3" x14ac:dyDescent="0.2">
      <c r="A8">
        <v>1694</v>
      </c>
      <c r="B8" s="1">
        <f>Calcul!B107</f>
        <v>21056.205008662571</v>
      </c>
      <c r="C8" s="1">
        <f>Calcul!B86</f>
        <v>11660.503440387862</v>
      </c>
    </row>
    <row r="9" spans="1:3" x14ac:dyDescent="0.2">
      <c r="A9">
        <v>1695</v>
      </c>
      <c r="B9" s="1">
        <f>Calcul!B108</f>
        <v>20477.037352763313</v>
      </c>
      <c r="C9" s="1">
        <f>Calcul!B87</f>
        <v>11339.772024570229</v>
      </c>
    </row>
    <row r="10" spans="1:3" x14ac:dyDescent="0.2">
      <c r="A10">
        <v>1696</v>
      </c>
      <c r="B10" s="1">
        <f>Calcul!B109</f>
        <v>18433.488562234255</v>
      </c>
      <c r="C10" s="1">
        <f>Calcul!B88</f>
        <v>10208.095747066222</v>
      </c>
    </row>
    <row r="11" spans="1:3" x14ac:dyDescent="0.2">
      <c r="A11">
        <v>1697</v>
      </c>
      <c r="B11" s="1">
        <f>Calcul!B110</f>
        <v>16650.077957329297</v>
      </c>
      <c r="C11" s="1">
        <f>Calcul!B89</f>
        <v>9220.4787721382509</v>
      </c>
    </row>
    <row r="12" spans="1:3" x14ac:dyDescent="0.2">
      <c r="A12">
        <v>1698</v>
      </c>
      <c r="B12" s="1"/>
    </row>
    <row r="13" spans="1:3" x14ac:dyDescent="0.2">
      <c r="A13">
        <v>1699</v>
      </c>
    </row>
    <row r="14" spans="1:3" x14ac:dyDescent="0.2">
      <c r="A14">
        <v>1700</v>
      </c>
    </row>
    <row r="15" spans="1:3" x14ac:dyDescent="0.2">
      <c r="A15">
        <v>1701</v>
      </c>
    </row>
    <row r="16" spans="1:3" x14ac:dyDescent="0.2">
      <c r="A16">
        <v>1702</v>
      </c>
    </row>
    <row r="17" spans="1:1" x14ac:dyDescent="0.2">
      <c r="A17">
        <v>1703</v>
      </c>
    </row>
    <row r="18" spans="1:1" x14ac:dyDescent="0.2">
      <c r="A18">
        <v>1704</v>
      </c>
    </row>
    <row r="19" spans="1:1" x14ac:dyDescent="0.2">
      <c r="A19">
        <v>1705</v>
      </c>
    </row>
    <row r="20" spans="1:1" x14ac:dyDescent="0.2">
      <c r="A20">
        <v>1706</v>
      </c>
    </row>
    <row r="21" spans="1:1" x14ac:dyDescent="0.2">
      <c r="A21">
        <v>1707</v>
      </c>
    </row>
    <row r="22" spans="1:1" x14ac:dyDescent="0.2">
      <c r="A22">
        <v>1708</v>
      </c>
    </row>
    <row r="23" spans="1:1" x14ac:dyDescent="0.2">
      <c r="A23">
        <v>1709</v>
      </c>
    </row>
    <row r="24" spans="1:1" x14ac:dyDescent="0.2">
      <c r="A24">
        <v>1710</v>
      </c>
    </row>
    <row r="25" spans="1:1" x14ac:dyDescent="0.2">
      <c r="A25">
        <v>1711</v>
      </c>
    </row>
    <row r="26" spans="1:1" x14ac:dyDescent="0.2">
      <c r="A26">
        <v>1712</v>
      </c>
    </row>
    <row r="27" spans="1:1" x14ac:dyDescent="0.2">
      <c r="A27">
        <v>1713</v>
      </c>
    </row>
    <row r="28" spans="1:1" x14ac:dyDescent="0.2">
      <c r="A28">
        <v>1714</v>
      </c>
    </row>
    <row r="29" spans="1:1" x14ac:dyDescent="0.2">
      <c r="A29">
        <v>1715</v>
      </c>
    </row>
    <row r="30" spans="1:1" x14ac:dyDescent="0.2">
      <c r="A30">
        <v>1716</v>
      </c>
    </row>
    <row r="31" spans="1:1" x14ac:dyDescent="0.2">
      <c r="A31">
        <v>1717</v>
      </c>
    </row>
    <row r="32" spans="1:1" x14ac:dyDescent="0.2">
      <c r="A32">
        <v>1718</v>
      </c>
    </row>
    <row r="33" spans="1:1" x14ac:dyDescent="0.2">
      <c r="A33">
        <v>1719</v>
      </c>
    </row>
    <row r="34" spans="1:1" x14ac:dyDescent="0.2">
      <c r="A34">
        <v>1720</v>
      </c>
    </row>
    <row r="35" spans="1:1" x14ac:dyDescent="0.2">
      <c r="A35">
        <v>1721</v>
      </c>
    </row>
    <row r="36" spans="1:1" x14ac:dyDescent="0.2">
      <c r="A36">
        <v>1722</v>
      </c>
    </row>
    <row r="37" spans="1:1" x14ac:dyDescent="0.2">
      <c r="A37">
        <v>1723</v>
      </c>
    </row>
    <row r="38" spans="1:1" x14ac:dyDescent="0.2">
      <c r="A38">
        <v>1724</v>
      </c>
    </row>
    <row r="39" spans="1:1" x14ac:dyDescent="0.2">
      <c r="A39">
        <v>1725</v>
      </c>
    </row>
    <row r="40" spans="1:1" x14ac:dyDescent="0.2">
      <c r="A40">
        <v>1726</v>
      </c>
    </row>
    <row r="41" spans="1:1" x14ac:dyDescent="0.2">
      <c r="A41">
        <v>1727</v>
      </c>
    </row>
    <row r="42" spans="1:1" x14ac:dyDescent="0.2">
      <c r="A42">
        <v>1728</v>
      </c>
    </row>
    <row r="43" spans="1:1" x14ac:dyDescent="0.2">
      <c r="A43">
        <v>1729</v>
      </c>
    </row>
    <row r="44" spans="1:1" x14ac:dyDescent="0.2">
      <c r="A44">
        <v>1730</v>
      </c>
    </row>
    <row r="45" spans="1:1" x14ac:dyDescent="0.2">
      <c r="A45">
        <v>1731</v>
      </c>
    </row>
    <row r="46" spans="1:1" x14ac:dyDescent="0.2">
      <c r="A46">
        <v>1732</v>
      </c>
    </row>
    <row r="47" spans="1:1" x14ac:dyDescent="0.2">
      <c r="A47">
        <v>1733</v>
      </c>
    </row>
    <row r="48" spans="1:1" x14ac:dyDescent="0.2">
      <c r="A48">
        <v>1734</v>
      </c>
    </row>
    <row r="49" spans="1:3" x14ac:dyDescent="0.2">
      <c r="A49">
        <v>1735</v>
      </c>
    </row>
    <row r="50" spans="1:3" x14ac:dyDescent="0.2">
      <c r="A50">
        <v>1736</v>
      </c>
    </row>
    <row r="51" spans="1:3" x14ac:dyDescent="0.2">
      <c r="A51">
        <v>1737</v>
      </c>
    </row>
    <row r="52" spans="1:3" x14ac:dyDescent="0.2">
      <c r="A52">
        <v>1738</v>
      </c>
    </row>
    <row r="53" spans="1:3" x14ac:dyDescent="0.2">
      <c r="A53">
        <v>1739</v>
      </c>
    </row>
    <row r="54" spans="1:3" x14ac:dyDescent="0.2">
      <c r="A54">
        <v>1740</v>
      </c>
    </row>
    <row r="55" spans="1:3" x14ac:dyDescent="0.2">
      <c r="A55">
        <v>1741</v>
      </c>
    </row>
    <row r="56" spans="1:3" x14ac:dyDescent="0.2">
      <c r="A56">
        <v>1742</v>
      </c>
    </row>
    <row r="57" spans="1:3" x14ac:dyDescent="0.2">
      <c r="A57">
        <v>1743</v>
      </c>
    </row>
    <row r="58" spans="1:3" x14ac:dyDescent="0.2">
      <c r="A58">
        <v>1744</v>
      </c>
      <c r="B58" s="1">
        <f>Calcul!B307</f>
        <v>9830.3425360126203</v>
      </c>
      <c r="C58" s="1">
        <f>Calcul!B280</f>
        <v>5575.554826863925</v>
      </c>
    </row>
    <row r="59" spans="1:3" x14ac:dyDescent="0.2">
      <c r="A59">
        <v>1745</v>
      </c>
      <c r="B59" s="1">
        <f>Calcul!B308</f>
        <v>17653.01130132312</v>
      </c>
      <c r="C59" s="1">
        <f>Calcul!B281</f>
        <v>10012.401094794281</v>
      </c>
    </row>
    <row r="60" spans="1:3" x14ac:dyDescent="0.2">
      <c r="A60">
        <v>1746</v>
      </c>
      <c r="B60" s="1">
        <f>Calcul!B309</f>
        <v>17915.564676554666</v>
      </c>
      <c r="C60" s="1">
        <f>Calcul!B282</f>
        <v>10161.315614631088</v>
      </c>
    </row>
    <row r="61" spans="1:3" x14ac:dyDescent="0.2">
      <c r="A61">
        <v>1747</v>
      </c>
      <c r="B61" s="1">
        <f>Calcul!B310</f>
        <v>13070.40911811387</v>
      </c>
      <c r="C61" s="1">
        <f>Calcul!B283</f>
        <v>7413.2495770737905</v>
      </c>
    </row>
    <row r="62" spans="1:3" x14ac:dyDescent="0.2">
      <c r="A62">
        <v>1748</v>
      </c>
      <c r="B62" s="1">
        <f>Calcul!B311</f>
        <v>6798.5851405813928</v>
      </c>
      <c r="C62" s="1">
        <f>Calcul!B284</f>
        <v>3856.0084816524932</v>
      </c>
    </row>
    <row r="63" spans="1:3" x14ac:dyDescent="0.2">
      <c r="A63">
        <v>1749</v>
      </c>
      <c r="B63" s="1"/>
      <c r="C63" s="1"/>
    </row>
    <row r="64" spans="1:3" x14ac:dyDescent="0.2">
      <c r="A64">
        <v>1750</v>
      </c>
    </row>
    <row r="65" spans="1:3" x14ac:dyDescent="0.2">
      <c r="A65">
        <v>1751</v>
      </c>
    </row>
    <row r="66" spans="1:3" x14ac:dyDescent="0.2">
      <c r="A66">
        <v>1752</v>
      </c>
    </row>
    <row r="67" spans="1:3" x14ac:dyDescent="0.2">
      <c r="A67">
        <v>1753</v>
      </c>
    </row>
    <row r="68" spans="1:3" x14ac:dyDescent="0.2">
      <c r="A68">
        <v>1754</v>
      </c>
    </row>
    <row r="69" spans="1:3" x14ac:dyDescent="0.2">
      <c r="A69">
        <v>1755</v>
      </c>
    </row>
    <row r="70" spans="1:3" x14ac:dyDescent="0.2">
      <c r="A70">
        <v>1756</v>
      </c>
      <c r="B70" s="1">
        <f>Calcul!B367+Calcul!D367</f>
        <v>8943.4195369725203</v>
      </c>
      <c r="C70" s="1">
        <f>Calcul!B341</f>
        <v>3380.4385964912281</v>
      </c>
    </row>
    <row r="71" spans="1:3" x14ac:dyDescent="0.2">
      <c r="A71">
        <v>1757</v>
      </c>
      <c r="B71" s="1">
        <f>Calcul!B368+Calcul!D368</f>
        <v>12192.040782193719</v>
      </c>
      <c r="C71" s="1">
        <f>Calcul!B342</f>
        <v>10628.473684210527</v>
      </c>
    </row>
    <row r="72" spans="1:3" x14ac:dyDescent="0.2">
      <c r="A72">
        <v>1758</v>
      </c>
      <c r="B72" s="1">
        <f>Calcul!B369+Calcul!D369</f>
        <v>6793.4339992911191</v>
      </c>
      <c r="C72" s="1">
        <f>Calcul!B343</f>
        <v>5697.5614035087719</v>
      </c>
    </row>
    <row r="73" spans="1:3" x14ac:dyDescent="0.2">
      <c r="A73">
        <v>1759</v>
      </c>
      <c r="B73" s="1">
        <f>Calcul!B370+Calcul!D370</f>
        <v>7910.4598246606784</v>
      </c>
      <c r="C73" s="1">
        <f>Calcul!B344</f>
        <v>2858.9298245614036</v>
      </c>
    </row>
    <row r="74" spans="1:3" x14ac:dyDescent="0.2">
      <c r="A74">
        <v>1760</v>
      </c>
      <c r="B74" s="1">
        <f>Calcul!B371+Calcul!D371</f>
        <v>15976.749856030099</v>
      </c>
      <c r="C74" s="1">
        <f>Calcul!B345</f>
        <v>3438.2105263157896</v>
      </c>
    </row>
    <row r="75" spans="1:3" x14ac:dyDescent="0.2">
      <c r="A75">
        <v>1761</v>
      </c>
      <c r="B75" s="1">
        <f>Calcul!B372+Calcul!D372</f>
        <v>7771.1921690637191</v>
      </c>
      <c r="C75" s="1">
        <f>Calcul!B346</f>
        <v>3091.5789473684208</v>
      </c>
    </row>
    <row r="76" spans="1:3" x14ac:dyDescent="0.2">
      <c r="A76">
        <v>1762</v>
      </c>
      <c r="B76" s="1">
        <f>Calcul!B373+Calcul!D373</f>
        <v>5029.703448969447</v>
      </c>
      <c r="C76" s="1">
        <f>Calcul!B347</f>
        <v>3479.5877192982457</v>
      </c>
    </row>
    <row r="77" spans="1:3" x14ac:dyDescent="0.2">
      <c r="A77">
        <v>1763</v>
      </c>
      <c r="B77" s="1"/>
      <c r="C77" s="1"/>
    </row>
    <row r="78" spans="1:3" x14ac:dyDescent="0.2">
      <c r="A78">
        <v>1764</v>
      </c>
    </row>
    <row r="79" spans="1:3" x14ac:dyDescent="0.2">
      <c r="A79">
        <v>1765</v>
      </c>
    </row>
    <row r="80" spans="1:3" x14ac:dyDescent="0.2">
      <c r="A80">
        <v>1766</v>
      </c>
    </row>
    <row r="81" spans="1:3" x14ac:dyDescent="0.2">
      <c r="A81">
        <v>1767</v>
      </c>
    </row>
    <row r="82" spans="1:3" x14ac:dyDescent="0.2">
      <c r="A82">
        <v>1768</v>
      </c>
    </row>
    <row r="83" spans="1:3" x14ac:dyDescent="0.2">
      <c r="A83">
        <v>1769</v>
      </c>
    </row>
    <row r="84" spans="1:3" x14ac:dyDescent="0.2">
      <c r="A84">
        <v>1770</v>
      </c>
    </row>
    <row r="85" spans="1:3" x14ac:dyDescent="0.2">
      <c r="A85">
        <v>1771</v>
      </c>
    </row>
    <row r="86" spans="1:3" x14ac:dyDescent="0.2">
      <c r="A86">
        <v>1772</v>
      </c>
    </row>
    <row r="87" spans="1:3" x14ac:dyDescent="0.2">
      <c r="A87">
        <v>1773</v>
      </c>
    </row>
    <row r="88" spans="1:3" x14ac:dyDescent="0.2">
      <c r="A88">
        <v>1774</v>
      </c>
    </row>
    <row r="89" spans="1:3" x14ac:dyDescent="0.2">
      <c r="A89">
        <v>1775</v>
      </c>
    </row>
    <row r="90" spans="1:3" x14ac:dyDescent="0.2">
      <c r="A90">
        <v>1776</v>
      </c>
    </row>
    <row r="91" spans="1:3" x14ac:dyDescent="0.2">
      <c r="A91">
        <v>1777</v>
      </c>
    </row>
    <row r="92" spans="1:3" x14ac:dyDescent="0.2">
      <c r="A92">
        <v>1778</v>
      </c>
      <c r="B92" s="1">
        <f>Calcul!B403+Calcul!B429</f>
        <v>14930.418512184069</v>
      </c>
      <c r="C92" s="1">
        <f>Calcul!B411</f>
        <v>2818.521699424497</v>
      </c>
    </row>
    <row r="93" spans="1:3" x14ac:dyDescent="0.2">
      <c r="A93">
        <v>1779</v>
      </c>
      <c r="B93" s="1">
        <f>Calcul!B404+Calcul!B430</f>
        <v>10619.801488108289</v>
      </c>
      <c r="C93" s="1">
        <f>Calcul!B412</f>
        <v>4086.8564641655207</v>
      </c>
    </row>
    <row r="94" spans="1:3" x14ac:dyDescent="0.2">
      <c r="A94">
        <v>1780</v>
      </c>
      <c r="B94" s="1">
        <f>Calcul!B405+Calcul!B431</f>
        <v>15067.169524477773</v>
      </c>
      <c r="C94" s="1">
        <f>Calcul!B413</f>
        <v>6482.5999086763431</v>
      </c>
    </row>
    <row r="95" spans="1:3" x14ac:dyDescent="0.2">
      <c r="A95">
        <v>1781</v>
      </c>
      <c r="B95" s="1">
        <f>Calcul!B406+Calcul!B432</f>
        <v>19371.939364703474</v>
      </c>
      <c r="C95" s="1">
        <f>Calcul!B414</f>
        <v>6623.5259936475677</v>
      </c>
    </row>
    <row r="96" spans="1:3" x14ac:dyDescent="0.2">
      <c r="A96">
        <v>1782</v>
      </c>
      <c r="B96" s="1">
        <f>Calcul!B407+Calcul!B433</f>
        <v>14202.005584060576</v>
      </c>
      <c r="C96" s="1">
        <f>Calcul!B415</f>
        <v>7469.0825034749168</v>
      </c>
    </row>
    <row r="97" spans="1:3" x14ac:dyDescent="0.2">
      <c r="A97">
        <v>1783</v>
      </c>
      <c r="B97" s="1">
        <f>Calcul!B408+Calcul!B434</f>
        <v>808.6655264658159</v>
      </c>
      <c r="C97" s="1">
        <f>Calcul!B416</f>
        <v>422.77825491367457</v>
      </c>
    </row>
    <row r="98" spans="1:3" x14ac:dyDescent="0.2">
      <c r="A98">
        <v>1784</v>
      </c>
      <c r="B98" s="1"/>
    </row>
    <row r="99" spans="1:3" x14ac:dyDescent="0.2">
      <c r="A99">
        <v>1785</v>
      </c>
    </row>
    <row r="100" spans="1:3" x14ac:dyDescent="0.2">
      <c r="A100">
        <v>1786</v>
      </c>
    </row>
    <row r="101" spans="1:3" x14ac:dyDescent="0.2">
      <c r="A101">
        <v>1787</v>
      </c>
    </row>
    <row r="102" spans="1:3" x14ac:dyDescent="0.2">
      <c r="A102">
        <v>1788</v>
      </c>
    </row>
    <row r="103" spans="1:3" x14ac:dyDescent="0.2">
      <c r="A103">
        <v>1789</v>
      </c>
    </row>
    <row r="104" spans="1:3" x14ac:dyDescent="0.2">
      <c r="A104">
        <v>1790</v>
      </c>
    </row>
    <row r="105" spans="1:3" x14ac:dyDescent="0.2">
      <c r="A105">
        <v>1791</v>
      </c>
    </row>
    <row r="106" spans="1:3" x14ac:dyDescent="0.2">
      <c r="A106">
        <v>1792</v>
      </c>
    </row>
    <row r="107" spans="1:3" x14ac:dyDescent="0.2">
      <c r="A107">
        <v>1793</v>
      </c>
      <c r="B107" s="1">
        <f>Calcul!D483</f>
        <v>8527.2445900073599</v>
      </c>
      <c r="C107" s="1">
        <f>Calcul!E483</f>
        <v>3172.5175565471377</v>
      </c>
    </row>
    <row r="108" spans="1:3" x14ac:dyDescent="0.2">
      <c r="A108">
        <v>1794</v>
      </c>
      <c r="B108" s="1">
        <f>Calcul!D484</f>
        <v>15600.981579445284</v>
      </c>
      <c r="C108" s="1">
        <f>Calcul!E484</f>
        <v>5804.2650750464682</v>
      </c>
    </row>
    <row r="109" spans="1:3" x14ac:dyDescent="0.2">
      <c r="A109">
        <v>1795</v>
      </c>
      <c r="B109" s="1">
        <f>Calcul!D485</f>
        <v>15504.081072740655</v>
      </c>
      <c r="C109" s="1">
        <f>Calcul!E485</f>
        <v>5768.2137391766146</v>
      </c>
    </row>
    <row r="110" spans="1:3" x14ac:dyDescent="0.2">
      <c r="A110">
        <v>1796</v>
      </c>
      <c r="B110" s="1">
        <f>Calcul!D486</f>
        <v>11846.086944640907</v>
      </c>
      <c r="C110" s="1">
        <f>Calcul!E486</f>
        <v>4407.2758100896317</v>
      </c>
    </row>
    <row r="111" spans="1:3" x14ac:dyDescent="0.2">
      <c r="A111">
        <v>1797</v>
      </c>
      <c r="B111" s="1">
        <f>Calcul!D487</f>
        <v>22989.645215673252</v>
      </c>
      <c r="C111" s="1">
        <f>Calcul!E487</f>
        <v>8553.1794351228236</v>
      </c>
    </row>
    <row r="112" spans="1:3" x14ac:dyDescent="0.2">
      <c r="A112">
        <v>1798</v>
      </c>
      <c r="B112" s="1">
        <f>Calcul!D488</f>
        <v>16666.887153196203</v>
      </c>
      <c r="C112" s="1">
        <f>Calcul!E488</f>
        <v>6200.8297696148602</v>
      </c>
    </row>
    <row r="113" spans="1:3" x14ac:dyDescent="0.2">
      <c r="A113">
        <v>1799</v>
      </c>
      <c r="B113" s="1">
        <f>Calcul!D489</f>
        <v>17684.34247359481</v>
      </c>
      <c r="C113" s="1">
        <f>Calcul!E489</f>
        <v>6579.3687962483255</v>
      </c>
    </row>
    <row r="114" spans="1:3" x14ac:dyDescent="0.2">
      <c r="A114">
        <v>1800</v>
      </c>
      <c r="B114" s="1">
        <f>Calcul!D490</f>
        <v>16133.934366320744</v>
      </c>
      <c r="C114" s="1">
        <f>Calcul!E490</f>
        <v>6002.5474223306637</v>
      </c>
    </row>
    <row r="115" spans="1:3" x14ac:dyDescent="0.2">
      <c r="A115">
        <v>1801</v>
      </c>
      <c r="B115" s="1">
        <f>Calcul!D491</f>
        <v>9665.825543786752</v>
      </c>
      <c r="C115" s="1">
        <f>Calcul!E491</f>
        <v>3596.1207530179199</v>
      </c>
    </row>
    <row r="116" spans="1:3" x14ac:dyDescent="0.2">
      <c r="A116">
        <v>1802</v>
      </c>
      <c r="B116" s="1"/>
      <c r="C116" s="1"/>
    </row>
    <row r="117" spans="1:3" x14ac:dyDescent="0.2">
      <c r="A117">
        <v>1803</v>
      </c>
      <c r="B117" s="1">
        <f>Calcul!D493</f>
        <v>5377.9781221069152</v>
      </c>
      <c r="C117" s="1">
        <f>Calcul!E493</f>
        <v>2000.8491407768881</v>
      </c>
    </row>
    <row r="118" spans="1:3" x14ac:dyDescent="0.2">
      <c r="A118">
        <v>1804</v>
      </c>
      <c r="B118" s="1">
        <f>Calcul!D494</f>
        <v>9375.1240236728645</v>
      </c>
      <c r="C118" s="1">
        <f>Calcul!E494</f>
        <v>3487.9667454083587</v>
      </c>
    </row>
    <row r="119" spans="1:3" x14ac:dyDescent="0.2">
      <c r="A119">
        <v>1805</v>
      </c>
      <c r="B119" s="1">
        <f>Calcul!D495</f>
        <v>12282.139224811737</v>
      </c>
      <c r="C119" s="1">
        <f>Calcul!E495</f>
        <v>4569.5068215039746</v>
      </c>
    </row>
    <row r="120" spans="1:3" x14ac:dyDescent="0.2">
      <c r="A120">
        <v>1806</v>
      </c>
      <c r="B120" s="1">
        <f>Calcul!D496</f>
        <v>12572.840744925625</v>
      </c>
      <c r="C120" s="1">
        <f>Calcul!E496</f>
        <v>4677.6608291135353</v>
      </c>
    </row>
    <row r="121" spans="1:3" x14ac:dyDescent="0.2">
      <c r="A121">
        <v>1807</v>
      </c>
      <c r="B121" s="1">
        <f>Calcul!D497</f>
        <v>13541.845811971916</v>
      </c>
      <c r="C121" s="1">
        <f>Calcul!E497</f>
        <v>5038.1741878120738</v>
      </c>
    </row>
    <row r="122" spans="1:3" x14ac:dyDescent="0.2">
      <c r="A122">
        <v>1808</v>
      </c>
      <c r="B122" s="1">
        <f>Calcul!D498</f>
        <v>11361.584411117761</v>
      </c>
      <c r="C122" s="1">
        <f>Calcul!E498</f>
        <v>4227.0191307403629</v>
      </c>
    </row>
    <row r="123" spans="1:3" x14ac:dyDescent="0.2">
      <c r="A123">
        <v>1809</v>
      </c>
      <c r="B123" s="1">
        <f>Calcul!D499</f>
        <v>13832.547332085804</v>
      </c>
      <c r="C123" s="1">
        <f>Calcul!E499</f>
        <v>5146.3281954216354</v>
      </c>
    </row>
    <row r="124" spans="1:3" x14ac:dyDescent="0.2">
      <c r="A124">
        <v>1810</v>
      </c>
      <c r="B124" s="1">
        <f>Calcul!D500</f>
        <v>14995.353412541352</v>
      </c>
      <c r="C124" s="1">
        <f>Calcul!E500</f>
        <v>5578.944225859882</v>
      </c>
    </row>
    <row r="125" spans="1:3" x14ac:dyDescent="0.2">
      <c r="A125">
        <v>1811</v>
      </c>
      <c r="B125" s="1">
        <f>Calcul!D501</f>
        <v>11385.809537793919</v>
      </c>
      <c r="C125" s="1">
        <f>Calcul!E501</f>
        <v>4236.0319647078259</v>
      </c>
    </row>
    <row r="126" spans="1:3" x14ac:dyDescent="0.2">
      <c r="A126">
        <v>1812</v>
      </c>
      <c r="B126" s="1">
        <f>Calcul!D502</f>
        <v>11506.935171174706</v>
      </c>
      <c r="C126" s="1">
        <f>Calcul!E502</f>
        <v>4281.0961345451433</v>
      </c>
    </row>
    <row r="127" spans="1:3" x14ac:dyDescent="0.2">
      <c r="A127">
        <v>1813</v>
      </c>
      <c r="B127" s="1">
        <f>Calcul!D503</f>
        <v>8987.5219968543479</v>
      </c>
      <c r="C127" s="1">
        <f>Calcul!E503</f>
        <v>3343.7614019289431</v>
      </c>
    </row>
    <row r="128" spans="1:3" x14ac:dyDescent="0.2">
      <c r="A128">
        <v>1814</v>
      </c>
      <c r="B128" s="1">
        <f>Calcul!D504</f>
        <v>3512.6433680428045</v>
      </c>
      <c r="C128" s="1">
        <f>Calcul!E504</f>
        <v>1306.8609252822016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Guillaume DAUDIN</cp:lastModifiedBy>
  <dcterms:created xsi:type="dcterms:W3CDTF">2022-06-09T16:12:38Z</dcterms:created>
  <dcterms:modified xsi:type="dcterms:W3CDTF">2024-04-19T13:37:48Z</dcterms:modified>
</cp:coreProperties>
</file>