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/Users/gavin/Downloads/"/>
    </mc:Choice>
  </mc:AlternateContent>
  <xr:revisionPtr revIDLastSave="0" documentId="13_ncr:1_{7B995472-2C3B-CC4A-B062-F19BAEFFF99D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1. Intro - Start Here" sheetId="1" r:id="rId1"/>
    <sheet name="2. Gas Properties" sheetId="2" r:id="rId2"/>
    <sheet name="3. Flow Rate - ISO 5167" sheetId="3" r:id="rId3"/>
    <sheet name="4. Throat Diameter - ISO 5167" sheetId="4" r:id="rId4"/>
    <sheet name="5. Pressure Diff. - ISO 5167" sheetId="5" r:id="rId5"/>
    <sheet name="6. Flow Rate - Specified C" sheetId="6" r:id="rId6"/>
    <sheet name="7. Throat Diam - Specified C" sheetId="7" r:id="rId7"/>
    <sheet name="8. Press Diff - Specified C" sheetId="8" r:id="rId8"/>
  </sheets>
  <definedNames>
    <definedName name="CompressibilityFactor">'2. Gas Properties'!$F$108</definedName>
    <definedName name="CriticalPressure">'2. Gas Properties'!$D$77</definedName>
    <definedName name="CriticalTemperature">'2. Gas Properties'!$D$62</definedName>
    <definedName name="Density">'3. Flow Rate - ISO 5167'!$D$27</definedName>
    <definedName name="GasPressure">'2. Gas Properties'!$D$15</definedName>
    <definedName name="GasTemperature">'2. Gas Properties'!$D$14</definedName>
    <definedName name="MassUnit">'2. Gas Properties'!#REF!</definedName>
    <definedName name="MolecularWeight">'2. Gas Properties'!$D$47</definedName>
    <definedName name="SpecificHeatRatio">'2. Gas Properties'!$D$92</definedName>
    <definedName name="Viscosity">'2. Gas Properties'!$D$32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5" l="1"/>
  <c r="G21" i="8" l="1"/>
  <c r="D21" i="8"/>
  <c r="D20" i="7"/>
  <c r="G22" i="7"/>
  <c r="G20" i="7"/>
  <c r="G24" i="6" l="1"/>
  <c r="G23" i="6"/>
  <c r="G20" i="6"/>
  <c r="D20" i="6"/>
  <c r="G23" i="5"/>
  <c r="G53" i="5"/>
  <c r="D53" i="5"/>
  <c r="G21" i="5"/>
  <c r="D21" i="5"/>
  <c r="F47" i="4"/>
  <c r="G55" i="4"/>
  <c r="D55" i="4"/>
  <c r="G49" i="3"/>
  <c r="D50" i="3"/>
  <c r="D49" i="3"/>
  <c r="G25" i="4"/>
  <c r="G23" i="4"/>
  <c r="D23" i="4"/>
  <c r="G26" i="3" l="1"/>
  <c r="G27" i="3" s="1"/>
  <c r="G23" i="3"/>
  <c r="D23" i="3"/>
  <c r="L47" i="2" l="1"/>
  <c r="L46" i="2"/>
  <c r="L45" i="2"/>
  <c r="L44" i="2"/>
  <c r="L43" i="2"/>
  <c r="L42" i="2"/>
  <c r="L41" i="2"/>
  <c r="L24" i="2" s="1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S24" i="2"/>
  <c r="R24" i="2"/>
  <c r="Q24" i="2"/>
  <c r="P24" i="2"/>
  <c r="O24" i="2"/>
  <c r="N24" i="2"/>
  <c r="M24" i="2"/>
  <c r="K24" i="2"/>
  <c r="K25" i="2" l="1"/>
  <c r="G23" i="8" l="1"/>
  <c r="G22" i="8"/>
  <c r="D22" i="8"/>
  <c r="G24" i="8" s="1"/>
  <c r="D23" i="8" l="1"/>
  <c r="G21" i="7"/>
  <c r="G21" i="6"/>
  <c r="D21" i="6"/>
  <c r="G55" i="5"/>
  <c r="G54" i="5"/>
  <c r="G57" i="5"/>
  <c r="D54" i="5"/>
  <c r="D57" i="5"/>
  <c r="G22" i="5"/>
  <c r="D24" i="5"/>
  <c r="G57" i="4"/>
  <c r="G56" i="4"/>
  <c r="D56" i="4"/>
  <c r="G59" i="4"/>
  <c r="D59" i="4"/>
  <c r="G24" i="4"/>
  <c r="D24" i="4"/>
  <c r="G26" i="4" s="1"/>
  <c r="D26" i="4"/>
  <c r="D22" i="7" l="1"/>
  <c r="D21" i="7"/>
  <c r="G23" i="7" s="1"/>
  <c r="D23" i="5"/>
  <c r="D22" i="6"/>
  <c r="D22" i="5"/>
  <c r="G24" i="5" s="1"/>
  <c r="D25" i="4"/>
  <c r="D59" i="5" l="1"/>
  <c r="G59" i="5"/>
  <c r="D61" i="4"/>
  <c r="G61" i="4"/>
  <c r="G51" i="3"/>
  <c r="G50" i="3"/>
  <c r="G53" i="3"/>
  <c r="D53" i="3"/>
  <c r="F41" i="3"/>
  <c r="D26" i="3"/>
  <c r="D24" i="3"/>
  <c r="F92" i="2"/>
  <c r="F77" i="2"/>
  <c r="F62" i="2"/>
  <c r="C51" i="2"/>
  <c r="D62" i="2" s="1"/>
  <c r="D102" i="2" s="1"/>
  <c r="F47" i="2"/>
  <c r="F32" i="2"/>
  <c r="C81" i="2"/>
  <c r="D92" i="2" s="1"/>
  <c r="C66" i="2"/>
  <c r="D77" i="2" s="1"/>
  <c r="G19" i="2" s="1"/>
  <c r="C36" i="2"/>
  <c r="D47" i="2" s="1"/>
  <c r="D13" i="2"/>
  <c r="D27" i="8" l="1"/>
  <c r="D26" i="7"/>
  <c r="D27" i="5"/>
  <c r="D26" i="6"/>
  <c r="D29" i="4"/>
  <c r="D16" i="2"/>
  <c r="D32" i="2" s="1"/>
  <c r="D25" i="3"/>
  <c r="D55" i="3" s="1"/>
  <c r="G24" i="3"/>
  <c r="G20" i="2"/>
  <c r="D103" i="2"/>
  <c r="D99" i="2"/>
  <c r="D19" i="2"/>
  <c r="C21" i="2" s="1"/>
  <c r="D29" i="3" l="1"/>
  <c r="G55" i="3"/>
  <c r="C22" i="2"/>
  <c r="D104" i="2"/>
  <c r="D105" i="2"/>
  <c r="G103" i="2" l="1"/>
  <c r="G104" i="2" s="1"/>
  <c r="G102" i="2"/>
  <c r="G105" i="2" l="1"/>
  <c r="G106" i="2" s="1"/>
  <c r="G112" i="2" s="1"/>
  <c r="F108" i="2" l="1"/>
  <c r="D111" i="2"/>
  <c r="G111" i="2"/>
  <c r="G110" i="2"/>
  <c r="D25" i="5" l="1"/>
  <c r="G25" i="5" s="1"/>
  <c r="D24" i="6"/>
  <c r="D24" i="7"/>
  <c r="G24" i="7" s="1"/>
  <c r="D27" i="4"/>
  <c r="G27" i="4" s="1"/>
  <c r="D63" i="4" s="1"/>
  <c r="D25" i="8"/>
  <c r="G25" i="8" s="1"/>
  <c r="G26" i="7"/>
  <c r="G29" i="7" s="1"/>
  <c r="F41" i="7" s="1"/>
  <c r="G29" i="4"/>
  <c r="G32" i="4" s="1"/>
  <c r="G27" i="5"/>
  <c r="G30" i="5" s="1"/>
  <c r="G26" i="6"/>
  <c r="G27" i="8"/>
  <c r="G30" i="8" s="1"/>
  <c r="F42" i="8" s="1"/>
  <c r="G29" i="3"/>
  <c r="G31" i="3" s="1"/>
  <c r="G61" i="5"/>
  <c r="D27" i="3"/>
  <c r="G28" i="6"/>
  <c r="G30" i="6" s="1"/>
  <c r="G33" i="3" l="1"/>
  <c r="D57" i="3" s="1"/>
  <c r="D61" i="5"/>
  <c r="G47" i="5" s="1"/>
  <c r="F43" i="5" s="1"/>
  <c r="G63" i="4"/>
  <c r="G49" i="4" s="1"/>
  <c r="F45" i="4" s="1"/>
  <c r="G57" i="3" l="1"/>
  <c r="G43" i="3" s="1"/>
  <c r="F39" i="3" s="1"/>
</calcChain>
</file>

<file path=xl/sharedStrings.xml><?xml version="1.0" encoding="utf-8"?>
<sst xmlns="http://schemas.openxmlformats.org/spreadsheetml/2006/main" count="819" uniqueCount="363">
  <si>
    <t>Workbook Contents</t>
  </si>
  <si>
    <t>Click on tabs at the bottom of the screen to access the following:</t>
  </si>
  <si>
    <t xml:space="preserve">  NOTE:  The cells containing formulas are locked (protected) to avoid the</t>
  </si>
  <si>
    <t xml:space="preserve">  however, adjust the number of decimal places for any of the cells.</t>
  </si>
  <si>
    <r>
      <rPr>
        <b/>
        <sz val="12"/>
        <rFont val="Arial"/>
        <family val="2"/>
      </rPr>
      <t xml:space="preserve">Tab 2. </t>
    </r>
    <r>
      <rPr>
        <sz val="12"/>
        <rFont val="Arial"/>
        <family val="2"/>
      </rPr>
      <t xml:space="preserve"> Gas Selection/Gas Properties</t>
    </r>
  </si>
  <si>
    <t>Notes on the use of these worksheets:</t>
  </si>
  <si>
    <t>1.  The Gas Properties worksheet should be used first to either i) select a gas from a</t>
  </si>
  <si>
    <t>dropdown list and enter the gas temperature and pressure in the pipe or else ii) enter</t>
  </si>
  <si>
    <t>the viscosity, ratio of specific heats, critical temperature and critical pressure of some</t>
  </si>
  <si>
    <t>other gas along with its temperature and pressure in the pipe.</t>
  </si>
  <si>
    <t>2.  If a gas is selected from the dropdown list, then the viscosity, ratio of specific heats,</t>
  </si>
  <si>
    <t>critical temperature, and critical pressure of that gas will be shown on the worksheet and</t>
  </si>
  <si>
    <t>will be used for calculations in all of the other worksheets.</t>
  </si>
  <si>
    <t>other worksheets.</t>
  </si>
  <si>
    <t>Note that in order to get accurate results with Redlich-Kwong equation calculations,</t>
  </si>
  <si>
    <r>
      <t>P/P</t>
    </r>
    <r>
      <rPr>
        <b/>
        <vertAlign val="subscript"/>
        <sz val="11"/>
        <color theme="1"/>
        <rFont val="Arial"/>
        <family val="2"/>
      </rPr>
      <t>c</t>
    </r>
    <r>
      <rPr>
        <b/>
        <sz val="11"/>
        <color theme="1"/>
        <rFont val="Arial"/>
        <family val="2"/>
      </rPr>
      <t xml:space="preserve"> should be less than T/(2T</t>
    </r>
    <r>
      <rPr>
        <b/>
        <vertAlign val="subscript"/>
        <sz val="11"/>
        <color theme="1"/>
        <rFont val="Arial"/>
        <family val="2"/>
      </rPr>
      <t>c</t>
    </r>
    <r>
      <rPr>
        <b/>
        <sz val="11"/>
        <color theme="1"/>
        <rFont val="Arial"/>
        <family val="2"/>
      </rPr>
      <t>).</t>
    </r>
  </si>
  <si>
    <t>Copyright © McGraw-Hill Global Education Holdings, LLC.  All rights reserved.</t>
  </si>
  <si>
    <t>Selection of Gas and Setting/Calculating the Gas</t>
  </si>
  <si>
    <t>1.  For calculations with one of the 21 gases listed in the table below, select the appropriate gas</t>
  </si>
  <si>
    <t>property values for use in the other Worksheets</t>
  </si>
  <si>
    <t xml:space="preserve">     specific heat ratio will be shown below on this worksheet and those values will be used</t>
  </si>
  <si>
    <t xml:space="preserve">     for calculations in all of the other worksheets.</t>
  </si>
  <si>
    <t xml:space="preserve">2.  For calculations with some other gas, not listed in the table below, the user must enter </t>
  </si>
  <si>
    <t xml:space="preserve">     values for the gas viscosity, molecular weight, critical temperature, critical pressure, and</t>
  </si>
  <si>
    <t>lbm</t>
  </si>
  <si>
    <t>3.  For either a gas selected from the dropdown list or user entered gas properties,</t>
  </si>
  <si>
    <t>FLUID VISCOSITY</t>
  </si>
  <si>
    <t>Either (i) select a Gas and enter its temperature and pressure in the indicated</t>
  </si>
  <si>
    <t>yellow cells below, so that its viscosity will be calculated and used, or else</t>
  </si>
  <si>
    <t>The sources for the values in this table are:</t>
  </si>
  <si>
    <t>Viscosity:</t>
  </si>
  <si>
    <t>Select a Gas and Enter Temperature</t>
  </si>
  <si>
    <t xml:space="preserve">        (Enter Values in yellow cells only)</t>
  </si>
  <si>
    <t xml:space="preserve">Click at right to Select Gas </t>
  </si>
  <si>
    <t>Methane</t>
  </si>
  <si>
    <t xml:space="preserve">    NOTE:  For accurate calculation of Z with</t>
  </si>
  <si>
    <t>Excel Vlookup results based on selected fluid:</t>
  </si>
  <si>
    <t xml:space="preserve">   pressure should be less than half of the</t>
  </si>
  <si>
    <t>Calculations:</t>
  </si>
  <si>
    <t>Variables for Viscosity Calculations:</t>
  </si>
  <si>
    <t>c1</t>
  </si>
  <si>
    <t>c2</t>
  </si>
  <si>
    <t>c3</t>
  </si>
  <si>
    <t>c4</t>
  </si>
  <si>
    <t>Mol. Weight</t>
  </si>
  <si>
    <t>Cp/Cv</t>
  </si>
  <si>
    <t xml:space="preserve">  Check on Gas Temperature and Gas Pressure Values entered above:</t>
  </si>
  <si>
    <t>Acetylene</t>
  </si>
  <si>
    <t xml:space="preserve">            Is P/Pc &lt; T/(2Tc)?</t>
  </si>
  <si>
    <t xml:space="preserve">       P/Pc  =</t>
  </si>
  <si>
    <t>Air</t>
  </si>
  <si>
    <t xml:space="preserve">      T/2Tc = </t>
  </si>
  <si>
    <t>Ammonia</t>
  </si>
  <si>
    <t>Argon</t>
  </si>
  <si>
    <t>Butane</t>
  </si>
  <si>
    <t>Carbon Dioxide</t>
  </si>
  <si>
    <t>NOTE:  If you want to use a gas from the menu</t>
  </si>
  <si>
    <t>Carbon Monoxide</t>
  </si>
  <si>
    <t>Chlorine</t>
  </si>
  <si>
    <t>Use the viscosity value above, OR</t>
  </si>
  <si>
    <t>Ethane</t>
  </si>
  <si>
    <t>Ethylene</t>
  </si>
  <si>
    <t>Enter a Gas Viscosity Obtained Elsewhere</t>
  </si>
  <si>
    <t>Helium</t>
  </si>
  <si>
    <t>Hydrogen</t>
  </si>
  <si>
    <t>Hydrogen Chloride</t>
  </si>
  <si>
    <t>Hydrogen Sulfide</t>
  </si>
  <si>
    <t>Gas Viscosity Result:</t>
  </si>
  <si>
    <t xml:space="preserve">  (This is the viscosity value that will be used in all of the other worksheets.)</t>
  </si>
  <si>
    <t>Nitric Oxide</t>
  </si>
  <si>
    <t>Nitrogen</t>
  </si>
  <si>
    <t>MOLECULAR Wt.</t>
  </si>
  <si>
    <t>Mol. Wt. from above menu selection:</t>
  </si>
  <si>
    <t>Oxygen</t>
  </si>
  <si>
    <t>Propane</t>
  </si>
  <si>
    <t>Propylene</t>
  </si>
  <si>
    <t>Sulfur Dioxide</t>
  </si>
  <si>
    <t>Use the Mol. Wt. value above, OR</t>
  </si>
  <si>
    <t>Enter a Gas Mol. Wt. Obtained Elsewhere</t>
  </si>
  <si>
    <t>Gas Molecular Weight:</t>
  </si>
  <si>
    <t>Molecular Weight Result:</t>
  </si>
  <si>
    <t xml:space="preserve">  (This is the Molecular Weight that will be used in all of the other worksheets.)</t>
  </si>
  <si>
    <t>CRITICAL TEMP.</t>
  </si>
  <si>
    <t>Critical Temperature from above menu selection:</t>
  </si>
  <si>
    <t>Use the Critical Temperature value above, OR</t>
  </si>
  <si>
    <t>Enter a Critical Temperature Obtained Elsewhere</t>
  </si>
  <si>
    <t>Critical Temp. Result:</t>
  </si>
  <si>
    <t xml:space="preserve">  (This is the Critical Temperature that will be used in all of the other worksheets.)</t>
  </si>
  <si>
    <t>CRITICAL PRESSURE</t>
  </si>
  <si>
    <t>Critical Pressure from above menu selection:</t>
  </si>
  <si>
    <t>psi</t>
  </si>
  <si>
    <t>Use the Critical Pressure value above, OR</t>
  </si>
  <si>
    <t>Enter a Critical Pressure Obtained Elsewhere</t>
  </si>
  <si>
    <t>Critical Pressure Result:</t>
  </si>
  <si>
    <t xml:space="preserve">  (This is the Critical Pressure that will be used in all of the other worksheets.)</t>
  </si>
  <si>
    <t>SPEC. HEAT RATIO</t>
  </si>
  <si>
    <t>Spec. Heat Ratio from above menu selection:</t>
  </si>
  <si>
    <t>Use the Specific Heat Ratio above, OR</t>
  </si>
  <si>
    <t>Enter a Spec. Heat Ratio Obtained Elsewhere</t>
  </si>
  <si>
    <t>Spec. Heat Ratio:</t>
  </si>
  <si>
    <t>Spec. Heat Ratio Result:</t>
  </si>
  <si>
    <t xml:space="preserve">  (This is the Specific Heat Ratio that will be used in all of the other worksheets.)</t>
  </si>
  <si>
    <t>COMPRESSIBILITY FACTOR</t>
  </si>
  <si>
    <t>Calculation of Compressibility Factor of the Gas using the Redlich-Kwong Equation of State:</t>
  </si>
  <si>
    <t xml:space="preserve">    For the Redlich-Kwong Equation of State (used to calculate the compressibility factor, Z) see:</t>
  </si>
  <si>
    <r>
      <t xml:space="preserve">    (Note that P/P</t>
    </r>
    <r>
      <rPr>
        <b/>
        <vertAlign val="subscript"/>
        <sz val="12"/>
        <color theme="8" tint="-0.24994659260841701"/>
        <rFont val="Calibri"/>
        <family val="2"/>
        <scheme val="minor"/>
      </rPr>
      <t>c</t>
    </r>
    <r>
      <rPr>
        <b/>
        <sz val="12"/>
        <color theme="8" tint="-0.24994659260841701"/>
        <rFont val="Calibri"/>
        <family val="2"/>
        <scheme val="minor"/>
      </rPr>
      <t xml:space="preserve"> must be less than T/2T</t>
    </r>
    <r>
      <rPr>
        <b/>
        <vertAlign val="subscript"/>
        <sz val="12"/>
        <color theme="8" tint="-0.24994659260841701"/>
        <rFont val="Calibri"/>
        <family val="2"/>
        <scheme val="minor"/>
      </rPr>
      <t>c</t>
    </r>
    <r>
      <rPr>
        <b/>
        <sz val="12"/>
        <color theme="8" tint="-0.24994659260841701"/>
        <rFont val="Calibri"/>
        <family val="2"/>
        <scheme val="minor"/>
      </rPr>
      <t xml:space="preserve"> for accurate Redlich-Kwong Equation calculations.)</t>
    </r>
  </si>
  <si>
    <t xml:space="preserve">   The Redlich-Kwong </t>
  </si>
  <si>
    <r>
      <t xml:space="preserve">              Is P/P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  &lt;  T/(2T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) ?</t>
    </r>
  </si>
  <si>
    <t xml:space="preserve">   If this answer is "NO", change P and/or T</t>
  </si>
  <si>
    <t xml:space="preserve">                                  Equation of State:</t>
  </si>
  <si>
    <t xml:space="preserve">    Where:</t>
  </si>
  <si>
    <t xml:space="preserve">        Z = Compressibility Factor</t>
  </si>
  <si>
    <r>
      <t xml:space="preserve">  Reduced Temperature,  </t>
    </r>
    <r>
      <rPr>
        <b/>
        <sz val="11"/>
        <rFont val="Arial"/>
        <family val="2"/>
      </rPr>
      <t>T</t>
    </r>
    <r>
      <rPr>
        <b/>
        <vertAlign val="subscript"/>
        <sz val="11"/>
        <rFont val="Arial"/>
        <family val="2"/>
      </rPr>
      <t>R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</si>
  <si>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Equation Constant,  </t>
    </r>
    <r>
      <rPr>
        <b/>
        <sz val="11"/>
        <rFont val="Arial"/>
        <family val="2"/>
      </rPr>
      <t>r</t>
    </r>
    <r>
      <rPr>
        <sz val="11"/>
        <color theme="1"/>
        <rFont val="Calibri"/>
        <family val="2"/>
        <scheme val="minor"/>
      </rPr>
      <t xml:space="preserve">  =</t>
    </r>
  </si>
  <si>
    <t xml:space="preserve">       T = Gas temperature, K</t>
  </si>
  <si>
    <r>
      <t xml:space="preserve">         Reduced Pressure, 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R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</si>
  <si>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Equation Constant,  </t>
    </r>
    <r>
      <rPr>
        <b/>
        <sz val="11"/>
        <rFont val="Arial"/>
        <family val="2"/>
      </rPr>
      <t>q</t>
    </r>
    <r>
      <rPr>
        <sz val="11"/>
        <color theme="1"/>
        <rFont val="Calibri"/>
        <family val="2"/>
        <scheme val="minor"/>
      </rPr>
      <t xml:space="preserve">  =</t>
    </r>
  </si>
  <si>
    <t xml:space="preserve">       P  = Gas pressure, atm</t>
  </si>
  <si>
    <r>
      <t xml:space="preserve">      Equation Constant,  </t>
    </r>
    <r>
      <rPr>
        <b/>
        <sz val="11"/>
        <rFont val="Arial"/>
        <family val="2"/>
      </rPr>
      <t>A</t>
    </r>
    <r>
      <rPr>
        <b/>
        <vertAlign val="superscript"/>
        <sz val="1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</si>
  <si>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Equation Constant,  </t>
    </r>
    <r>
      <rPr>
        <b/>
        <sz val="11"/>
        <rFont val="Arial"/>
        <family val="2"/>
      </rPr>
      <t>f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</si>
  <si>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T</t>
    </r>
    <r>
      <rPr>
        <vertAlign val="subscript"/>
        <sz val="11"/>
        <rFont val="Arial"/>
        <family val="2"/>
      </rPr>
      <t>c</t>
    </r>
    <r>
      <rPr>
        <sz val="11"/>
        <rFont val="Arial"/>
        <family val="2"/>
      </rPr>
      <t xml:space="preserve">  = critical temperature of gas, K</t>
    </r>
  </si>
  <si>
    <r>
      <t xml:space="preserve">       Equation Constant,  </t>
    </r>
    <r>
      <rPr>
        <b/>
        <sz val="11"/>
        <rFont val="Arial"/>
        <family val="2"/>
      </rPr>
      <t>B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</si>
  <si>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Equation Constant,  </t>
    </r>
    <r>
      <rPr>
        <b/>
        <sz val="11"/>
        <rFont val="Arial"/>
        <family val="2"/>
      </rPr>
      <t>g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</si>
  <si>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P</t>
    </r>
    <r>
      <rPr>
        <vertAlign val="subscript"/>
        <sz val="11"/>
        <rFont val="Arial"/>
        <family val="2"/>
      </rPr>
      <t>c</t>
    </r>
    <r>
      <rPr>
        <sz val="11"/>
        <rFont val="Arial"/>
        <family val="2"/>
      </rPr>
      <t xml:space="preserve">  = critical pressure of gas, atm</t>
    </r>
  </si>
  <si>
    <r>
      <t>Subject to:  P/P</t>
    </r>
    <r>
      <rPr>
        <b/>
        <vertAlign val="subscript"/>
        <sz val="11"/>
        <color theme="1"/>
        <rFont val="Arial"/>
        <family val="2"/>
      </rPr>
      <t>c</t>
    </r>
    <r>
      <rPr>
        <b/>
        <sz val="11"/>
        <color theme="1"/>
        <rFont val="Arial"/>
        <family val="2"/>
      </rPr>
      <t xml:space="preserve">  &lt;  T/(2T</t>
    </r>
    <r>
      <rPr>
        <b/>
        <vertAlign val="subscript"/>
        <sz val="11"/>
        <color theme="1"/>
        <rFont val="Arial"/>
        <family val="2"/>
      </rPr>
      <t>c</t>
    </r>
    <r>
      <rPr>
        <b/>
        <sz val="11"/>
        <color theme="1"/>
        <rFont val="Arial"/>
        <family val="2"/>
      </rPr>
      <t>)</t>
    </r>
  </si>
  <si>
    <r>
      <t xml:space="preserve">             calculated value of  </t>
    </r>
    <r>
      <rPr>
        <b/>
        <sz val="12"/>
        <color theme="1"/>
        <rFont val="Arial"/>
        <family val="2"/>
      </rPr>
      <t>C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</si>
  <si>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      </t>
    </r>
    <r>
      <rPr>
        <b/>
        <sz val="11"/>
        <color theme="1"/>
        <rFont val="Arial"/>
        <family val="2"/>
      </rPr>
      <t>Z  =</t>
    </r>
  </si>
  <si>
    <r>
      <t xml:space="preserve">    It is calculated as the maximum real root of the equation:  </t>
    </r>
    <r>
      <rPr>
        <b/>
        <sz val="11"/>
        <rFont val="Arial"/>
        <family val="2"/>
      </rPr>
      <t>Z</t>
    </r>
    <r>
      <rPr>
        <b/>
        <vertAlign val="superscript"/>
        <sz val="11"/>
        <rFont val="Arial"/>
        <family val="2"/>
      </rPr>
      <t>3</t>
    </r>
    <r>
      <rPr>
        <b/>
        <sz val="11"/>
        <rFont val="Arial"/>
        <family val="2"/>
      </rPr>
      <t xml:space="preserve"> - Z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- qZ - r  =  0,</t>
    </r>
    <r>
      <rPr>
        <b/>
        <sz val="12"/>
        <rFont val="Arial"/>
        <family val="2"/>
      </rPr>
      <t xml:space="preserve">  </t>
    </r>
    <r>
      <rPr>
        <sz val="11"/>
        <rFont val="Arial"/>
        <family val="2"/>
      </rPr>
      <t xml:space="preserve">where  </t>
    </r>
    <r>
      <rPr>
        <b/>
        <sz val="11"/>
        <rFont val="Arial"/>
        <family val="2"/>
      </rPr>
      <t>r  =  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B</t>
    </r>
    <r>
      <rPr>
        <sz val="11"/>
        <rFont val="Arial"/>
        <family val="2"/>
      </rPr>
      <t xml:space="preserve">  and</t>
    </r>
  </si>
  <si>
    <r>
      <t xml:space="preserve">              </t>
    </r>
    <r>
      <rPr>
        <b/>
        <sz val="11"/>
        <rFont val="Arial"/>
        <family val="2"/>
      </rPr>
      <t>Z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</si>
  <si>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q  =  B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+ B - 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,     A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= 0.42747 P</t>
    </r>
    <r>
      <rPr>
        <b/>
        <vertAlign val="subscript"/>
        <sz val="11"/>
        <rFont val="Arial"/>
        <family val="2"/>
      </rPr>
      <t>R</t>
    </r>
    <r>
      <rPr>
        <b/>
        <sz val="11"/>
        <rFont val="Arial"/>
        <family val="2"/>
      </rPr>
      <t>/T</t>
    </r>
    <r>
      <rPr>
        <b/>
        <vertAlign val="subscript"/>
        <sz val="11"/>
        <rFont val="Arial"/>
        <family val="2"/>
      </rPr>
      <t>R</t>
    </r>
    <r>
      <rPr>
        <b/>
        <vertAlign val="superscript"/>
        <sz val="11"/>
        <rFont val="Arial"/>
        <family val="2"/>
      </rPr>
      <t xml:space="preserve">2.5  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B  =  0.08664 P</t>
    </r>
    <r>
      <rPr>
        <b/>
        <vertAlign val="subscript"/>
        <sz val="11"/>
        <rFont val="Arial"/>
        <family val="2"/>
      </rPr>
      <t>R</t>
    </r>
    <r>
      <rPr>
        <b/>
        <sz val="11"/>
        <rFont val="Arial"/>
        <family val="2"/>
      </rPr>
      <t>/T</t>
    </r>
    <r>
      <rPr>
        <b/>
        <vertAlign val="subscript"/>
        <sz val="11"/>
        <rFont val="Arial"/>
        <family val="2"/>
      </rPr>
      <t>R</t>
    </r>
    <r>
      <rPr>
        <b/>
        <sz val="11"/>
        <rFont val="Arial"/>
        <family val="2"/>
      </rPr>
      <t>.</t>
    </r>
  </si>
  <si>
    <r>
      <t xml:space="preserve">       Equation Constant,  </t>
    </r>
    <r>
      <rPr>
        <b/>
        <sz val="11"/>
        <rFont val="Symbol"/>
        <family val="1"/>
        <charset val="2"/>
      </rPr>
      <t>f</t>
    </r>
    <r>
      <rPr>
        <sz val="11"/>
        <color theme="1"/>
        <rFont val="Symbol"/>
        <family val="1"/>
        <charset val="2"/>
      </rPr>
      <t xml:space="preserve"> 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</si>
  <si>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             </t>
    </r>
    <r>
      <rPr>
        <b/>
        <sz val="11"/>
        <rFont val="Arial"/>
        <family val="2"/>
      </rPr>
      <t>Z</t>
    </r>
    <r>
      <rPr>
        <b/>
        <vertAlign val="subscript"/>
        <sz val="1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</si>
  <si>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</t>
    </r>
    <r>
      <rPr>
        <b/>
        <sz val="11"/>
        <rFont val="Arial"/>
        <family val="2"/>
      </rPr>
      <t>Z</t>
    </r>
    <r>
      <rPr>
        <b/>
        <vertAlign val="subscript"/>
        <sz val="11"/>
        <rFont val="Arial"/>
        <family val="2"/>
      </rPr>
      <t>3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</si>
  <si>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To find the maximum real root, first the parameter C is calculated, where  </t>
    </r>
    <r>
      <rPr>
        <b/>
        <sz val="11"/>
        <rFont val="Arial"/>
        <family val="2"/>
      </rPr>
      <t>C = (f/3)</t>
    </r>
    <r>
      <rPr>
        <b/>
        <vertAlign val="superscript"/>
        <sz val="11"/>
        <rFont val="Arial"/>
        <family val="2"/>
      </rPr>
      <t>3</t>
    </r>
    <r>
      <rPr>
        <b/>
        <sz val="11"/>
        <rFont val="Arial"/>
        <family val="2"/>
      </rPr>
      <t xml:space="preserve"> + (g/2)</t>
    </r>
    <r>
      <rPr>
        <b/>
        <vertAlign val="superscript"/>
        <sz val="11"/>
        <rFont val="Arial"/>
        <family val="2"/>
      </rPr>
      <t>2</t>
    </r>
    <r>
      <rPr>
        <sz val="11"/>
        <rFont val="Arial"/>
        <family val="2"/>
      </rPr>
      <t xml:space="preserve">,  </t>
    </r>
    <r>
      <rPr>
        <b/>
        <sz val="11"/>
        <rFont val="Arial"/>
        <family val="2"/>
      </rPr>
      <t>f  = (-3q - 1)/3</t>
    </r>
  </si>
  <si>
    <r>
      <t xml:space="preserve">   and   </t>
    </r>
    <r>
      <rPr>
        <b/>
        <sz val="11"/>
        <rFont val="Arial"/>
        <family val="2"/>
      </rPr>
      <t xml:space="preserve"> g  =  (-27r - 9q - 2)/27.   </t>
    </r>
  </si>
  <si>
    <r>
      <t xml:space="preserve">If C &gt; 0, there is one real root,  </t>
    </r>
    <r>
      <rPr>
        <b/>
        <sz val="11"/>
        <color theme="1"/>
        <rFont val="Arial"/>
        <family val="2"/>
      </rPr>
      <t>Z  = (-g/2 + C</t>
    </r>
    <r>
      <rPr>
        <b/>
        <vertAlign val="superscript"/>
        <sz val="11"/>
        <color theme="1"/>
        <rFont val="Arial"/>
        <family val="2"/>
      </rPr>
      <t>1/2</t>
    </r>
    <r>
      <rPr>
        <b/>
        <sz val="11"/>
        <color theme="1"/>
        <rFont val="Arial"/>
        <family val="2"/>
      </rPr>
      <t>)</t>
    </r>
    <r>
      <rPr>
        <b/>
        <vertAlign val="superscript"/>
        <sz val="11"/>
        <color theme="1"/>
        <rFont val="Arial"/>
        <family val="2"/>
      </rPr>
      <t>1/3</t>
    </r>
    <r>
      <rPr>
        <b/>
        <sz val="11"/>
        <color theme="1"/>
        <rFont val="Arial"/>
        <family val="2"/>
      </rPr>
      <t xml:space="preserve">  +  (-g/2 - C</t>
    </r>
    <r>
      <rPr>
        <b/>
        <vertAlign val="superscript"/>
        <sz val="11"/>
        <color theme="1"/>
        <rFont val="Arial"/>
        <family val="2"/>
      </rPr>
      <t>1/2</t>
    </r>
    <r>
      <rPr>
        <b/>
        <sz val="11"/>
        <color theme="1"/>
        <rFont val="Arial"/>
        <family val="2"/>
      </rPr>
      <t>)</t>
    </r>
    <r>
      <rPr>
        <b/>
        <vertAlign val="superscript"/>
        <sz val="11"/>
        <color theme="1"/>
        <rFont val="Arial"/>
        <family val="2"/>
      </rPr>
      <t>1/3</t>
    </r>
    <r>
      <rPr>
        <b/>
        <sz val="11"/>
        <color theme="1"/>
        <rFont val="Arial"/>
        <family val="2"/>
      </rPr>
      <t xml:space="preserve"> + 1/3.</t>
    </r>
  </si>
  <si>
    <r>
      <t xml:space="preserve">  If C &lt; 0, then there are three real roots, given by: </t>
    </r>
    <r>
      <rPr>
        <b/>
        <sz val="11"/>
        <color theme="1"/>
        <rFont val="Arial"/>
        <family val="2"/>
      </rPr>
      <t xml:space="preserve"> Z</t>
    </r>
    <r>
      <rPr>
        <b/>
        <vertAlign val="subscript"/>
        <sz val="11"/>
        <color theme="1"/>
        <rFont val="Arial"/>
        <family val="2"/>
      </rPr>
      <t>k</t>
    </r>
    <r>
      <rPr>
        <b/>
        <sz val="11"/>
        <color theme="1"/>
        <rFont val="Arial"/>
        <family val="2"/>
      </rPr>
      <t xml:space="preserve"> = 2(-f/3)</t>
    </r>
    <r>
      <rPr>
        <b/>
        <vertAlign val="superscript"/>
        <sz val="11"/>
        <color theme="1"/>
        <rFont val="Arial"/>
        <family val="2"/>
      </rPr>
      <t>1/2</t>
    </r>
    <r>
      <rPr>
        <b/>
        <sz val="11"/>
        <color theme="1"/>
        <rFont val="Arial"/>
        <family val="2"/>
      </rPr>
      <t>cos[(</t>
    </r>
    <r>
      <rPr>
        <b/>
        <sz val="11"/>
        <color theme="1"/>
        <rFont val="Symbol"/>
        <family val="1"/>
        <charset val="2"/>
      </rPr>
      <t>f</t>
    </r>
    <r>
      <rPr>
        <b/>
        <sz val="11"/>
        <color theme="1"/>
        <rFont val="Arial"/>
        <family val="2"/>
      </rPr>
      <t>/3) + 2</t>
    </r>
    <r>
      <rPr>
        <b/>
        <sz val="11"/>
        <color theme="1"/>
        <rFont val="Symbol"/>
        <family val="1"/>
        <charset val="2"/>
      </rPr>
      <t>p</t>
    </r>
    <r>
      <rPr>
        <b/>
        <sz val="11"/>
        <color theme="1"/>
        <rFont val="Arial"/>
        <family val="2"/>
      </rPr>
      <t>(k-1)/3] + 1/3,     k = 1,2,3</t>
    </r>
  </si>
  <si>
    <r>
      <t xml:space="preserve">      with </t>
    </r>
    <r>
      <rPr>
        <b/>
        <sz val="11"/>
        <rFont val="Symbol"/>
        <family val="1"/>
        <charset val="2"/>
      </rPr>
      <t>f</t>
    </r>
    <r>
      <rPr>
        <b/>
        <sz val="11"/>
        <rFont val="Arial"/>
        <family val="2"/>
      </rPr>
      <t xml:space="preserve"> = cos</t>
    </r>
    <r>
      <rPr>
        <b/>
        <vertAlign val="superscript"/>
        <sz val="11"/>
        <rFont val="Arial"/>
        <family val="2"/>
      </rPr>
      <t>-1</t>
    </r>
    <r>
      <rPr>
        <b/>
        <sz val="11"/>
        <rFont val="Arial"/>
        <family val="2"/>
      </rPr>
      <t>{[(g</t>
    </r>
    <r>
      <rPr>
        <b/>
        <vertAlign val="superscript"/>
        <sz val="11"/>
        <rFont val="Arial"/>
        <family val="2"/>
      </rPr>
      <t>2</t>
    </r>
    <r>
      <rPr>
        <b/>
        <sz val="11"/>
        <rFont val="Arial"/>
        <family val="2"/>
      </rPr>
      <t>/4)/((-f</t>
    </r>
    <r>
      <rPr>
        <b/>
        <vertAlign val="superscript"/>
        <sz val="11"/>
        <rFont val="Arial"/>
        <family val="2"/>
      </rPr>
      <t>3</t>
    </r>
    <r>
      <rPr>
        <b/>
        <sz val="11"/>
        <rFont val="Arial"/>
        <family val="2"/>
      </rPr>
      <t>)/27)]</t>
    </r>
    <r>
      <rPr>
        <b/>
        <vertAlign val="superscript"/>
        <sz val="11"/>
        <rFont val="Arial"/>
        <family val="2"/>
      </rPr>
      <t>1/2</t>
    </r>
    <r>
      <rPr>
        <b/>
        <sz val="11"/>
        <rFont val="Arial"/>
        <family val="2"/>
      </rPr>
      <t xml:space="preserve">} </t>
    </r>
  </si>
  <si>
    <t>********************************** WORKSPACE ***************************************************************************************************************************</t>
  </si>
  <si>
    <t>slugs</t>
  </si>
  <si>
    <r>
      <rPr>
        <b/>
        <sz val="12"/>
        <rFont val="Arial"/>
        <family val="2"/>
      </rPr>
      <t xml:space="preserve">Tab 3. </t>
    </r>
    <r>
      <rPr>
        <sz val="12"/>
        <rFont val="Arial"/>
        <family val="2"/>
      </rPr>
      <t xml:space="preserve"> Calculate Flow Rate - ISO 5167</t>
    </r>
  </si>
  <si>
    <r>
      <rPr>
        <b/>
        <sz val="12"/>
        <rFont val="Arial"/>
        <family val="2"/>
      </rPr>
      <t xml:space="preserve">Tab 4. </t>
    </r>
    <r>
      <rPr>
        <sz val="12"/>
        <rFont val="Arial"/>
        <family val="2"/>
      </rPr>
      <t xml:space="preserve"> Calculate Required Throat Diameter - ISO 5167</t>
    </r>
  </si>
  <si>
    <r>
      <rPr>
        <b/>
        <sz val="12"/>
        <rFont val="Arial"/>
        <family val="2"/>
      </rPr>
      <t xml:space="preserve">Tab 5. </t>
    </r>
    <r>
      <rPr>
        <sz val="12"/>
        <rFont val="Arial"/>
        <family val="2"/>
      </rPr>
      <t xml:space="preserve"> Calculate Pressure Difference - ISO 5167</t>
    </r>
  </si>
  <si>
    <r>
      <rPr>
        <b/>
        <sz val="12"/>
        <rFont val="Arial"/>
        <family val="2"/>
      </rPr>
      <t xml:space="preserve">Tab 6. </t>
    </r>
    <r>
      <rPr>
        <sz val="12"/>
        <rFont val="Arial"/>
        <family val="2"/>
      </rPr>
      <t xml:space="preserve"> Calculate Flow Rate for User Specified Value of C</t>
    </r>
  </si>
  <si>
    <r>
      <rPr>
        <b/>
        <sz val="12"/>
        <rFont val="Arial"/>
        <family val="2"/>
      </rPr>
      <t xml:space="preserve">Tab 7. </t>
    </r>
    <r>
      <rPr>
        <sz val="12"/>
        <rFont val="Arial"/>
        <family val="2"/>
      </rPr>
      <t xml:space="preserve"> Calc. Throat Diam. for User Specified Value of C</t>
    </r>
  </si>
  <si>
    <r>
      <rPr>
        <b/>
        <sz val="12"/>
        <rFont val="Arial"/>
        <family val="2"/>
      </rPr>
      <t xml:space="preserve">Tab 8. </t>
    </r>
    <r>
      <rPr>
        <sz val="12"/>
        <rFont val="Arial"/>
        <family val="2"/>
      </rPr>
      <t xml:space="preserve"> Calc. Pressure Diff. for User Specified Value of C</t>
    </r>
  </si>
  <si>
    <t>of the three ISO 5167 standard configurations.</t>
  </si>
  <si>
    <t xml:space="preserve">      equations are summarized on the worksheets.</t>
  </si>
  <si>
    <t xml:space="preserve">      Other requirements for use of the ISO 5167-4:2003</t>
  </si>
  <si>
    <t>6.  Tabs 6, 7, and 8 make calculations with a user specified value for the discharge</t>
  </si>
  <si>
    <t xml:space="preserve">                                         References and Equations</t>
  </si>
  <si>
    <t>For Venturi Meters Meeting ISO 5167-4:2003 Requirements</t>
  </si>
  <si>
    <t xml:space="preserve">    For background and descriptive information about Venturi flow meters see:</t>
  </si>
  <si>
    <t>INPUTS</t>
  </si>
  <si>
    <t>User Inputs:</t>
  </si>
  <si>
    <t xml:space="preserve">  Enter values in yellow cells only.</t>
  </si>
  <si>
    <r>
      <t xml:space="preserve">  Pipe Diameter, </t>
    </r>
    <r>
      <rPr>
        <b/>
        <sz val="11"/>
        <rFont val="Arial"/>
        <family val="2"/>
      </rPr>
      <t>D</t>
    </r>
    <r>
      <rPr>
        <sz val="11"/>
        <color theme="1"/>
        <rFont val="Calibri"/>
        <family val="2"/>
        <scheme val="minor"/>
      </rPr>
      <t xml:space="preserve">  =</t>
    </r>
  </si>
  <si>
    <t xml:space="preserve">   (See link at right for std pipe size table)</t>
  </si>
  <si>
    <t xml:space="preserve">  Measured Pressure</t>
  </si>
  <si>
    <r>
      <t xml:space="preserve">  </t>
    </r>
    <r>
      <rPr>
        <b/>
        <u/>
        <sz val="10"/>
        <rFont val="Arial"/>
        <family val="2"/>
      </rPr>
      <t>For a table with standard pipe size information, see:</t>
    </r>
  </si>
  <si>
    <r>
      <t xml:space="preserve">   Difference,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- </t>
    </r>
    <r>
      <rPr>
        <b/>
        <sz val="12"/>
        <color theme="1"/>
        <rFont val="Arial"/>
        <family val="2"/>
      </rPr>
      <t>P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</si>
  <si>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Throat Diameter, </t>
    </r>
    <r>
      <rPr>
        <b/>
        <sz val="11"/>
        <rFont val="Arial"/>
        <family val="2"/>
      </rPr>
      <t>d</t>
    </r>
    <r>
      <rPr>
        <sz val="11"/>
        <color theme="1"/>
        <rFont val="Calibri"/>
        <family val="2"/>
        <scheme val="minor"/>
      </rPr>
      <t xml:space="preserve">  =</t>
    </r>
  </si>
  <si>
    <t>in</t>
  </si>
  <si>
    <r>
      <t xml:space="preserve">        </t>
    </r>
    <r>
      <rPr>
        <sz val="11"/>
        <color theme="1"/>
        <rFont val="Arial"/>
        <family val="2"/>
      </rPr>
      <t xml:space="preserve">                  (Note that z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- z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= 0 for a horizontal meter)</t>
    </r>
  </si>
  <si>
    <t>as cast</t>
  </si>
  <si>
    <t>CALCULATIONS</t>
  </si>
  <si>
    <r>
      <t xml:space="preserve">       Pipe Area, </t>
    </r>
    <r>
      <rPr>
        <b/>
        <sz val="11"/>
        <rFont val="Arial"/>
        <family val="2"/>
      </rPr>
      <t>A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</si>
  <si>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Throat Area, </t>
    </r>
    <r>
      <rPr>
        <b/>
        <sz val="11"/>
        <rFont val="Arial"/>
        <family val="2"/>
      </rPr>
      <t>A</t>
    </r>
    <r>
      <rPr>
        <b/>
        <vertAlign val="subscript"/>
        <sz val="1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</si>
  <si>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Diameter Ratio,  </t>
    </r>
    <r>
      <rPr>
        <b/>
        <sz val="1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</si>
  <si>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Difference,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- </t>
    </r>
    <r>
      <rPr>
        <b/>
        <sz val="12"/>
        <color theme="1"/>
        <rFont val="Arial"/>
        <family val="2"/>
      </rPr>
      <t>P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</si>
  <si>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Discharge Coeff., </t>
    </r>
    <r>
      <rPr>
        <b/>
        <sz val="11"/>
        <rFont val="Arial"/>
        <family val="2"/>
      </rPr>
      <t>C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</si>
  <si>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Pipe Flow Rate,  </t>
    </r>
    <r>
      <rPr>
        <b/>
        <sz val="11"/>
        <rFont val="Arial"/>
        <family val="2"/>
      </rPr>
      <t>Q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</si>
  <si>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Pipe Velocity, </t>
    </r>
    <r>
      <rPr>
        <b/>
        <sz val="11"/>
        <rFont val="Arial"/>
        <family val="2"/>
      </rPr>
      <t>V</t>
    </r>
    <r>
      <rPr>
        <sz val="11"/>
        <color theme="1"/>
        <rFont val="Calibri"/>
        <family val="2"/>
        <scheme val="minor"/>
      </rPr>
      <t xml:space="preserve">  =</t>
    </r>
  </si>
  <si>
    <t>ft/sec</t>
  </si>
  <si>
    <r>
      <t xml:space="preserve">      Reynolds No.,  </t>
    </r>
    <r>
      <rPr>
        <b/>
        <sz val="11"/>
        <rFont val="Arial"/>
        <family val="2"/>
      </rPr>
      <t>Re</t>
    </r>
    <r>
      <rPr>
        <sz val="11"/>
        <color theme="1"/>
        <rFont val="Calibri"/>
        <family val="2"/>
        <scheme val="minor"/>
      </rPr>
      <t xml:space="preserve">  =</t>
    </r>
  </si>
  <si>
    <t>RESULTS</t>
  </si>
  <si>
    <t>Results:</t>
  </si>
  <si>
    <r>
      <t xml:space="preserve">                                               </t>
    </r>
    <r>
      <rPr>
        <b/>
        <sz val="11"/>
        <color theme="1"/>
        <rFont val="Arial"/>
        <family val="2"/>
      </rPr>
      <t>Pipe Flow Rate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4"/>
        <color theme="1"/>
        <rFont val="Arial"/>
        <family val="2"/>
      </rPr>
      <t>Q</t>
    </r>
    <r>
      <rPr>
        <sz val="11"/>
        <color theme="1"/>
        <rFont val="Calibri"/>
        <family val="2"/>
        <scheme val="minor"/>
      </rPr>
      <t xml:space="preserve">  =</t>
    </r>
  </si>
  <si>
    <t xml:space="preserve">   Uncertainty of</t>
  </si>
  <si>
    <r>
      <t xml:space="preserve">     Calculated Discharge Coefficient, </t>
    </r>
    <r>
      <rPr>
        <b/>
        <sz val="14"/>
        <color theme="1"/>
        <rFont val="Calibri"/>
        <family val="2"/>
        <scheme val="minor"/>
      </rPr>
      <t>C</t>
    </r>
    <r>
      <rPr>
        <b/>
        <sz val="12"/>
        <color theme="1"/>
        <rFont val="Calibri"/>
        <family val="2"/>
        <scheme val="minor"/>
      </rPr>
      <t xml:space="preserve">  ( </t>
    </r>
    <r>
      <rPr>
        <b/>
        <u/>
        <sz val="12"/>
        <color theme="1"/>
        <rFont val="Calibri"/>
        <family val="2"/>
        <scheme val="minor"/>
      </rPr>
      <t>+</t>
    </r>
    <r>
      <rPr>
        <b/>
        <sz val="12"/>
        <color theme="1"/>
        <rFont val="Calibri"/>
        <family val="2"/>
        <scheme val="minor"/>
      </rPr>
      <t xml:space="preserve"> ):</t>
    </r>
  </si>
  <si>
    <t xml:space="preserve">           (from ISO 5167-4:2003 section 5.7)</t>
  </si>
  <si>
    <t xml:space="preserve"> Are all of the conditions for use of ISO 5167-4:2003 equations met?</t>
  </si>
  <si>
    <t xml:space="preserve">              ( See the details of the check on the required conditions below. )</t>
  </si>
  <si>
    <t xml:space="preserve">   The source for the discharge coefficient values and the pipe/meter/flow conditions required for their use is:</t>
  </si>
  <si>
    <t xml:space="preserve">  International Organization for Standardization (ISO), Measurement of fluid flow by means of pressure</t>
  </si>
  <si>
    <t>LIMITS - ISO 5167-4:2003</t>
  </si>
  <si>
    <t xml:space="preserve">   Check on the Conditions Required for Use of ISO 5167-4:2003 Discharge Coefficient:</t>
  </si>
  <si>
    <t xml:space="preserve">  differential devices inserted in circular cross-section conduits running full - Part 4: Venturi Meters</t>
  </si>
  <si>
    <t xml:space="preserve">   Reference Number:  ISO 5167-4:2003</t>
  </si>
  <si>
    <r>
      <t xml:space="preserve">                     </t>
    </r>
    <r>
      <rPr>
        <b/>
        <sz val="11"/>
        <rFont val="Arial"/>
        <family val="2"/>
      </rPr>
      <t>D</t>
    </r>
    <r>
      <rPr>
        <b/>
        <vertAlign val="subscript"/>
        <sz val="11"/>
        <rFont val="Arial"/>
        <family val="2"/>
      </rPr>
      <t>min</t>
    </r>
    <r>
      <rPr>
        <b/>
        <sz val="11"/>
        <rFont val="Arial"/>
        <family val="2"/>
      </rPr>
      <t xml:space="preserve">  </t>
    </r>
    <r>
      <rPr>
        <sz val="11"/>
        <rFont val="Arial"/>
        <family val="2"/>
      </rPr>
      <t>=</t>
    </r>
  </si>
  <si>
    <r>
      <t xml:space="preserve">                 </t>
    </r>
    <r>
      <rPr>
        <b/>
        <sz val="11"/>
        <rFont val="Arial"/>
        <family val="2"/>
      </rPr>
      <t>D</t>
    </r>
    <r>
      <rPr>
        <b/>
        <vertAlign val="subscript"/>
        <sz val="11"/>
        <rFont val="Arial"/>
        <family val="2"/>
      </rPr>
      <t>max</t>
    </r>
    <r>
      <rPr>
        <sz val="11"/>
        <color theme="1"/>
        <rFont val="Arial"/>
        <family val="2"/>
      </rPr>
      <t xml:space="preserve">  =</t>
    </r>
  </si>
  <si>
    <r>
      <t xml:space="preserve">                     </t>
    </r>
    <r>
      <rPr>
        <b/>
        <sz val="11"/>
        <rFont val="Symbol"/>
        <family val="1"/>
        <charset val="2"/>
      </rPr>
      <t>b</t>
    </r>
    <r>
      <rPr>
        <b/>
        <vertAlign val="subscript"/>
        <sz val="11"/>
        <rFont val="Arial"/>
        <family val="2"/>
      </rPr>
      <t>min</t>
    </r>
    <r>
      <rPr>
        <b/>
        <sz val="11"/>
        <rFont val="Arial"/>
        <family val="2"/>
      </rPr>
      <t xml:space="preserve">  </t>
    </r>
    <r>
      <rPr>
        <sz val="11"/>
        <rFont val="Arial"/>
        <family val="2"/>
      </rPr>
      <t>=</t>
    </r>
  </si>
  <si>
    <r>
      <t xml:space="preserve">                 </t>
    </r>
    <r>
      <rPr>
        <b/>
        <sz val="11"/>
        <rFont val="Symbol"/>
        <family val="1"/>
        <charset val="2"/>
      </rPr>
      <t>b</t>
    </r>
    <r>
      <rPr>
        <b/>
        <vertAlign val="subscript"/>
        <sz val="11"/>
        <rFont val="Arial"/>
        <family val="2"/>
      </rPr>
      <t>max</t>
    </r>
    <r>
      <rPr>
        <sz val="11"/>
        <color theme="1"/>
        <rFont val="Arial"/>
        <family val="2"/>
      </rPr>
      <t xml:space="preserve">  =</t>
    </r>
  </si>
  <si>
    <r>
      <t xml:space="preserve">                     </t>
    </r>
    <r>
      <rPr>
        <b/>
        <sz val="11"/>
        <rFont val="Arial"/>
        <family val="2"/>
      </rPr>
      <t>Re</t>
    </r>
    <r>
      <rPr>
        <b/>
        <vertAlign val="subscript"/>
        <sz val="11"/>
        <rFont val="Arial"/>
        <family val="2"/>
      </rPr>
      <t>min</t>
    </r>
    <r>
      <rPr>
        <b/>
        <sz val="11"/>
        <rFont val="Arial"/>
        <family val="2"/>
      </rPr>
      <t xml:space="preserve">  </t>
    </r>
    <r>
      <rPr>
        <sz val="11"/>
        <rFont val="Arial"/>
        <family val="2"/>
      </rPr>
      <t>=</t>
    </r>
  </si>
  <si>
    <r>
      <t xml:space="preserve">                 </t>
    </r>
    <r>
      <rPr>
        <b/>
        <sz val="11"/>
        <rFont val="Arial"/>
        <family val="2"/>
      </rPr>
      <t>Re</t>
    </r>
    <r>
      <rPr>
        <b/>
        <vertAlign val="subscript"/>
        <sz val="11"/>
        <rFont val="Arial"/>
        <family val="2"/>
      </rPr>
      <t>max</t>
    </r>
    <r>
      <rPr>
        <sz val="11"/>
        <color theme="1"/>
        <rFont val="Arial"/>
        <family val="2"/>
      </rPr>
      <t xml:space="preserve">  =</t>
    </r>
  </si>
  <si>
    <r>
      <t xml:space="preserve">         Is  </t>
    </r>
    <r>
      <rPr>
        <b/>
        <sz val="11"/>
        <rFont val="Arial"/>
        <family val="2"/>
      </rPr>
      <t>D</t>
    </r>
    <r>
      <rPr>
        <sz val="11"/>
        <color theme="1"/>
        <rFont val="Arial"/>
        <family val="2"/>
      </rPr>
      <t xml:space="preserve">  </t>
    </r>
    <r>
      <rPr>
        <u/>
        <sz val="11"/>
        <color theme="1"/>
        <rFont val="Arial"/>
        <family val="2"/>
      </rPr>
      <t>&gt;</t>
    </r>
    <r>
      <rPr>
        <sz val="11"/>
        <color theme="1"/>
        <rFont val="Arial"/>
        <family val="2"/>
      </rPr>
      <t xml:space="preserve">  </t>
    </r>
    <r>
      <rPr>
        <b/>
        <sz val="11"/>
        <color theme="1"/>
        <rFont val="Arial"/>
        <family val="2"/>
      </rPr>
      <t>D</t>
    </r>
    <r>
      <rPr>
        <b/>
        <vertAlign val="subscript"/>
        <sz val="11"/>
        <color theme="1"/>
        <rFont val="Arial"/>
        <family val="2"/>
      </rPr>
      <t>min</t>
    </r>
    <r>
      <rPr>
        <sz val="11"/>
        <color theme="1"/>
        <rFont val="Arial"/>
        <family val="2"/>
      </rPr>
      <t xml:space="preserve"> ?</t>
    </r>
  </si>
  <si>
    <r>
      <t xml:space="preserve">         Is  </t>
    </r>
    <r>
      <rPr>
        <b/>
        <sz val="11"/>
        <rFont val="Arial"/>
        <family val="2"/>
      </rPr>
      <t>D</t>
    </r>
    <r>
      <rPr>
        <sz val="11"/>
        <color theme="1"/>
        <rFont val="Arial"/>
        <family val="2"/>
      </rPr>
      <t xml:space="preserve">  </t>
    </r>
    <r>
      <rPr>
        <u/>
        <sz val="11"/>
        <color theme="1"/>
        <rFont val="Arial"/>
        <family val="2"/>
      </rPr>
      <t>&lt;</t>
    </r>
    <r>
      <rPr>
        <sz val="11"/>
        <color theme="1"/>
        <rFont val="Arial"/>
        <family val="2"/>
      </rPr>
      <t xml:space="preserve">  </t>
    </r>
    <r>
      <rPr>
        <b/>
        <sz val="11"/>
        <color theme="1"/>
        <rFont val="Arial"/>
        <family val="2"/>
      </rPr>
      <t>D</t>
    </r>
    <r>
      <rPr>
        <b/>
        <vertAlign val="subscript"/>
        <sz val="11"/>
        <color theme="1"/>
        <rFont val="Arial"/>
        <family val="2"/>
      </rPr>
      <t>max</t>
    </r>
    <r>
      <rPr>
        <sz val="11"/>
        <color theme="1"/>
        <rFont val="Arial"/>
        <family val="2"/>
      </rPr>
      <t xml:space="preserve"> ?</t>
    </r>
  </si>
  <si>
    <r>
      <t xml:space="preserve">         Is  </t>
    </r>
    <r>
      <rPr>
        <b/>
        <sz val="11"/>
        <rFont val="Symbol"/>
        <family val="1"/>
        <charset val="2"/>
      </rPr>
      <t>b</t>
    </r>
    <r>
      <rPr>
        <sz val="11"/>
        <color theme="1"/>
        <rFont val="Arial"/>
        <family val="2"/>
      </rPr>
      <t xml:space="preserve">  </t>
    </r>
    <r>
      <rPr>
        <u/>
        <sz val="11"/>
        <color theme="1"/>
        <rFont val="Arial"/>
        <family val="2"/>
      </rPr>
      <t>&gt;</t>
    </r>
    <r>
      <rPr>
        <sz val="11"/>
        <color theme="1"/>
        <rFont val="Arial"/>
        <family val="2"/>
      </rPr>
      <t xml:space="preserve">  </t>
    </r>
    <r>
      <rPr>
        <b/>
        <sz val="11"/>
        <color theme="1"/>
        <rFont val="Symbol"/>
        <family val="1"/>
        <charset val="2"/>
      </rPr>
      <t>b</t>
    </r>
    <r>
      <rPr>
        <b/>
        <vertAlign val="subscript"/>
        <sz val="11"/>
        <color theme="1"/>
        <rFont val="Arial"/>
        <family val="2"/>
      </rPr>
      <t>min</t>
    </r>
    <r>
      <rPr>
        <sz val="11"/>
        <color theme="1"/>
        <rFont val="Arial"/>
        <family val="2"/>
      </rPr>
      <t xml:space="preserve"> ?</t>
    </r>
  </si>
  <si>
    <r>
      <t xml:space="preserve">         Is  </t>
    </r>
    <r>
      <rPr>
        <b/>
        <sz val="11"/>
        <rFont val="Symbol"/>
        <family val="1"/>
        <charset val="2"/>
      </rPr>
      <t>b</t>
    </r>
    <r>
      <rPr>
        <sz val="11"/>
        <color theme="1"/>
        <rFont val="Arial"/>
        <family val="2"/>
      </rPr>
      <t xml:space="preserve">  </t>
    </r>
    <r>
      <rPr>
        <u/>
        <sz val="11"/>
        <color theme="1"/>
        <rFont val="Arial"/>
        <family val="2"/>
      </rPr>
      <t>&lt;</t>
    </r>
    <r>
      <rPr>
        <sz val="11"/>
        <color theme="1"/>
        <rFont val="Arial"/>
        <family val="2"/>
      </rPr>
      <t xml:space="preserve">  </t>
    </r>
    <r>
      <rPr>
        <b/>
        <sz val="11"/>
        <color theme="1"/>
        <rFont val="Symbol"/>
        <family val="1"/>
        <charset val="2"/>
      </rPr>
      <t>b</t>
    </r>
    <r>
      <rPr>
        <b/>
        <vertAlign val="subscript"/>
        <sz val="11"/>
        <color theme="1"/>
        <rFont val="Arial"/>
        <family val="2"/>
      </rPr>
      <t>max</t>
    </r>
    <r>
      <rPr>
        <sz val="11"/>
        <color theme="1"/>
        <rFont val="Arial"/>
        <family val="2"/>
      </rPr>
      <t xml:space="preserve"> ?</t>
    </r>
  </si>
  <si>
    <r>
      <t xml:space="preserve">         Is  </t>
    </r>
    <r>
      <rPr>
        <b/>
        <sz val="11"/>
        <rFont val="Arial"/>
        <family val="2"/>
      </rPr>
      <t>Re</t>
    </r>
    <r>
      <rPr>
        <sz val="11"/>
        <color theme="1"/>
        <rFont val="Arial"/>
        <family val="2"/>
      </rPr>
      <t xml:space="preserve">  </t>
    </r>
    <r>
      <rPr>
        <u/>
        <sz val="11"/>
        <color theme="1"/>
        <rFont val="Arial"/>
        <family val="2"/>
      </rPr>
      <t>&gt;</t>
    </r>
    <r>
      <rPr>
        <sz val="11"/>
        <color theme="1"/>
        <rFont val="Arial"/>
        <family val="2"/>
      </rPr>
      <t xml:space="preserve">  </t>
    </r>
    <r>
      <rPr>
        <b/>
        <sz val="11"/>
        <color theme="1"/>
        <rFont val="Arial"/>
        <family val="2"/>
      </rPr>
      <t>Re</t>
    </r>
    <r>
      <rPr>
        <b/>
        <vertAlign val="subscript"/>
        <sz val="11"/>
        <color theme="1"/>
        <rFont val="Arial"/>
        <family val="2"/>
      </rPr>
      <t>min</t>
    </r>
    <r>
      <rPr>
        <sz val="11"/>
        <color theme="1"/>
        <rFont val="Arial"/>
        <family val="2"/>
      </rPr>
      <t xml:space="preserve"> ?</t>
    </r>
  </si>
  <si>
    <r>
      <t xml:space="preserve">      Is  </t>
    </r>
    <r>
      <rPr>
        <b/>
        <sz val="11"/>
        <rFont val="Arial"/>
        <family val="2"/>
      </rPr>
      <t>Re</t>
    </r>
    <r>
      <rPr>
        <sz val="11"/>
        <color theme="1"/>
        <rFont val="Arial"/>
        <family val="2"/>
      </rPr>
      <t xml:space="preserve">  </t>
    </r>
    <r>
      <rPr>
        <u/>
        <sz val="11"/>
        <color theme="1"/>
        <rFont val="Arial"/>
        <family val="2"/>
      </rPr>
      <t>&lt;</t>
    </r>
    <r>
      <rPr>
        <sz val="11"/>
        <color theme="1"/>
        <rFont val="Arial"/>
        <family val="2"/>
      </rPr>
      <t xml:space="preserve">  </t>
    </r>
    <r>
      <rPr>
        <b/>
        <sz val="11"/>
        <color theme="1"/>
        <rFont val="Arial"/>
        <family val="2"/>
      </rPr>
      <t>Re</t>
    </r>
    <r>
      <rPr>
        <b/>
        <vertAlign val="subscript"/>
        <sz val="11"/>
        <color theme="1"/>
        <rFont val="Arial"/>
        <family val="2"/>
      </rPr>
      <t>max</t>
    </r>
    <r>
      <rPr>
        <sz val="11"/>
        <color theme="1"/>
        <rFont val="Arial"/>
        <family val="2"/>
      </rPr>
      <t xml:space="preserve"> ?</t>
    </r>
  </si>
  <si>
    <t xml:space="preserve">    If the conditions for use of ISO 5167-4-2003 equations are not met and the flow</t>
  </si>
  <si>
    <t xml:space="preserve">    and/or pipe/meter configuration cannot be adjusted to meet these conditions</t>
  </si>
  <si>
    <t xml:space="preserve">    then Tabs 6-8 may be used for calculations with a user specified value for the</t>
  </si>
  <si>
    <t xml:space="preserve">    discharge coefficient, C.  </t>
  </si>
  <si>
    <r>
      <t xml:space="preserve">       Fluid Density, </t>
    </r>
    <r>
      <rPr>
        <b/>
        <sz val="1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</si>
  <si>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   </t>
    </r>
    <r>
      <rPr>
        <b/>
        <sz val="11"/>
        <rFont val="Arial"/>
        <family val="2"/>
      </rPr>
      <t>Y</t>
    </r>
    <r>
      <rPr>
        <sz val="11"/>
        <rFont val="Arial"/>
        <family val="2"/>
      </rPr>
      <t xml:space="preserve">  =  Expansion Factor, dimensionless</t>
    </r>
  </si>
  <si>
    <r>
      <t xml:space="preserve">                 </t>
    </r>
    <r>
      <rPr>
        <b/>
        <sz val="11"/>
        <rFont val="Arial"/>
        <family val="2"/>
      </rPr>
      <t>C</t>
    </r>
    <r>
      <rPr>
        <vertAlign val="subscript"/>
        <sz val="11"/>
        <rFont val="Arial"/>
        <family val="2"/>
      </rPr>
      <t xml:space="preserve"> </t>
    </r>
    <r>
      <rPr>
        <sz val="11"/>
        <rFont val="Arial"/>
        <family val="2"/>
      </rPr>
      <t xml:space="preserve"> =  discharge coefficient, dimensionless</t>
    </r>
  </si>
  <si>
    <r>
      <t xml:space="preserve">                 </t>
    </r>
    <r>
      <rPr>
        <b/>
        <sz val="11"/>
        <rFont val="Symbol"/>
        <family val="1"/>
        <charset val="2"/>
      </rPr>
      <t>b</t>
    </r>
    <r>
      <rPr>
        <sz val="11"/>
        <rFont val="Arial"/>
        <family val="2"/>
      </rPr>
      <t xml:space="preserve">  =  d/D  =  throat diam./pipe diam., dimensionless</t>
    </r>
  </si>
  <si>
    <r>
      <t xml:space="preserve">                 </t>
    </r>
    <r>
      <rPr>
        <b/>
        <sz val="11"/>
        <rFont val="Arial"/>
        <family val="2"/>
      </rPr>
      <t>Z</t>
    </r>
    <r>
      <rPr>
        <sz val="11"/>
        <rFont val="Arial"/>
        <family val="2"/>
      </rPr>
      <t xml:space="preserve">  =  compressibility factor of the gas at P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, T</t>
    </r>
    <r>
      <rPr>
        <vertAlign val="subscript"/>
        <sz val="11"/>
        <rFont val="Arial"/>
        <family val="2"/>
      </rPr>
      <t>1</t>
    </r>
  </si>
  <si>
    <r>
      <t xml:space="preserve">                 </t>
    </r>
    <r>
      <rPr>
        <b/>
        <sz val="11"/>
        <rFont val="Arial"/>
        <family val="2"/>
      </rPr>
      <t>Y</t>
    </r>
    <r>
      <rPr>
        <sz val="11"/>
        <rFont val="Arial"/>
        <family val="2"/>
      </rPr>
      <t xml:space="preserve">  =  Expansion Factor - see equation for Y below</t>
    </r>
  </si>
  <si>
    <r>
      <t xml:space="preserve">                 </t>
    </r>
    <r>
      <rPr>
        <b/>
        <sz val="11"/>
        <rFont val="Arial"/>
        <family val="2"/>
      </rPr>
      <t>MW</t>
    </r>
    <r>
      <rPr>
        <sz val="11"/>
        <rFont val="Arial"/>
        <family val="2"/>
      </rPr>
      <t xml:space="preserve">  =  molecular weight of gas</t>
    </r>
  </si>
  <si>
    <r>
      <t xml:space="preserve">                </t>
    </r>
    <r>
      <rPr>
        <b/>
        <sz val="11"/>
        <rFont val="Arial"/>
        <family val="2"/>
      </rPr>
      <t xml:space="preserve"> k</t>
    </r>
    <r>
      <rPr>
        <sz val="11"/>
        <rFont val="Arial"/>
        <family val="2"/>
      </rPr>
      <t xml:space="preserve">  =  isentropic constant [ specific heat ratio (C</t>
    </r>
    <r>
      <rPr>
        <vertAlign val="subscript"/>
        <sz val="11"/>
        <rFont val="Arial"/>
        <family val="2"/>
      </rPr>
      <t>p</t>
    </r>
    <r>
      <rPr>
        <sz val="11"/>
        <rFont val="Arial"/>
        <family val="2"/>
      </rPr>
      <t>/C</t>
    </r>
    <r>
      <rPr>
        <vertAlign val="subscript"/>
        <sz val="11"/>
        <rFont val="Arial"/>
        <family val="2"/>
      </rPr>
      <t>v</t>
    </r>
    <r>
      <rPr>
        <sz val="11"/>
        <rFont val="Arial"/>
        <family val="2"/>
      </rPr>
      <t>)], dimensionless</t>
    </r>
  </si>
  <si>
    <r>
      <t xml:space="preserve">                 </t>
    </r>
    <r>
      <rPr>
        <b/>
        <sz val="11"/>
        <rFont val="Symbol"/>
        <family val="1"/>
        <charset val="2"/>
      </rPr>
      <t xml:space="preserve">t </t>
    </r>
    <r>
      <rPr>
        <sz val="11"/>
        <rFont val="Arial"/>
        <family val="2"/>
      </rPr>
      <t xml:space="preserve"> =  Pressure Ratio, P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/P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, dimensionless</t>
    </r>
  </si>
  <si>
    <r>
      <t xml:space="preserve">                 </t>
    </r>
    <r>
      <rPr>
        <b/>
        <sz val="11"/>
        <rFont val="Symbol"/>
        <family val="1"/>
        <charset val="2"/>
      </rPr>
      <t xml:space="preserve">b </t>
    </r>
    <r>
      <rPr>
        <sz val="11"/>
        <rFont val="Arial"/>
        <family val="2"/>
      </rPr>
      <t xml:space="preserve"> =  d/D = throat diam./pipe diam., dimensionless</t>
    </r>
  </si>
  <si>
    <t xml:space="preserve">    Click on the green cell below and then on the arrow to the right of it and use the</t>
  </si>
  <si>
    <t>in. Hg</t>
  </si>
  <si>
    <t>machined</t>
  </si>
  <si>
    <t>rough welded sheet iron</t>
  </si>
  <si>
    <t xml:space="preserve">  Ideal Gas Law</t>
  </si>
  <si>
    <r>
      <t xml:space="preserve">          Constant, 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</si>
  <si>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     Pressure Ratio, 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/P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</si>
  <si>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Expansion Factor, </t>
    </r>
    <r>
      <rPr>
        <b/>
        <sz val="11"/>
        <rFont val="Arial"/>
        <family val="2"/>
      </rPr>
      <t>Y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</si>
  <si>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Pipe Flow Rate, </t>
    </r>
    <r>
      <rPr>
        <b/>
        <sz val="11"/>
        <rFont val="Arial"/>
        <family val="2"/>
      </rPr>
      <t>Q</t>
    </r>
    <r>
      <rPr>
        <sz val="11"/>
        <color theme="1"/>
        <rFont val="Calibri"/>
        <family val="2"/>
        <scheme val="minor"/>
      </rPr>
      <t xml:space="preserve">  =</t>
    </r>
  </si>
  <si>
    <t>Assumed value of</t>
  </si>
  <si>
    <r>
      <t xml:space="preserve">   Press.  Diff.,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- </t>
    </r>
    <r>
      <rPr>
        <b/>
        <sz val="12"/>
        <color theme="1"/>
        <rFont val="Arial"/>
        <family val="2"/>
      </rPr>
      <t>P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</si>
  <si>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Throat Diam.,  </t>
    </r>
    <r>
      <rPr>
        <b/>
        <sz val="11"/>
        <rFont val="Arial"/>
        <family val="2"/>
      </rPr>
      <t>d</t>
    </r>
    <r>
      <rPr>
        <sz val="11"/>
        <color theme="1"/>
        <rFont val="Calibri"/>
        <family val="2"/>
        <scheme val="minor"/>
      </rPr>
      <t xml:space="preserve">  =</t>
    </r>
  </si>
  <si>
    <t xml:space="preserve">        (target value)</t>
  </si>
  <si>
    <t>(needed to start iterative calculation)</t>
  </si>
  <si>
    <t xml:space="preserve">                 (in pipe)</t>
  </si>
  <si>
    <r>
      <t xml:space="preserve">         Difference,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- </t>
    </r>
    <r>
      <rPr>
        <b/>
        <sz val="12"/>
        <color theme="1"/>
        <rFont val="Arial"/>
        <family val="2"/>
      </rPr>
      <t>P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</si>
  <si>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t>Calculated Pressure</t>
  </si>
  <si>
    <t xml:space="preserve">          Difference between target and </t>
  </si>
  <si>
    <r>
      <t xml:space="preserve">              calculated values of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- </t>
    </r>
    <r>
      <rPr>
        <b/>
        <sz val="12"/>
        <color theme="1"/>
        <rFont val="Arial"/>
        <family val="2"/>
      </rPr>
      <t>P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</si>
  <si>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                 Throat Diameter Needed, </t>
    </r>
    <r>
      <rPr>
        <b/>
        <sz val="14"/>
        <color theme="1"/>
        <rFont val="Arial"/>
        <family val="2"/>
      </rPr>
      <t>d</t>
    </r>
    <r>
      <rPr>
        <sz val="11"/>
        <color theme="1"/>
        <rFont val="Calibri"/>
        <family val="2"/>
        <scheme val="minor"/>
      </rPr>
      <t xml:space="preserve">  =</t>
    </r>
  </si>
  <si>
    <t xml:space="preserve">   drop down list to specify the type of</t>
  </si>
  <si>
    <t>User Specified Discharge Coefficient, C</t>
  </si>
  <si>
    <r>
      <t xml:space="preserve"> Discharge Coeff., </t>
    </r>
    <r>
      <rPr>
        <b/>
        <sz val="11"/>
        <rFont val="Arial"/>
        <family val="2"/>
      </rPr>
      <t>C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</si>
  <si>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          Throat Diameter Needed, </t>
    </r>
    <r>
      <rPr>
        <b/>
        <sz val="14"/>
        <color theme="1"/>
        <rFont val="Arial"/>
        <family val="2"/>
      </rPr>
      <t>d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</si>
  <si>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              Pressure Difference,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- </t>
    </r>
    <r>
      <rPr>
        <b/>
        <sz val="12"/>
        <color theme="1"/>
        <rFont val="Arial"/>
        <family val="2"/>
      </rPr>
      <t>P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</si>
  <si>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t xml:space="preserve">    The compressibility factor is calculated as described at: www.polymath-software.com/ASEE2007/PDF1.pdf.</t>
  </si>
  <si>
    <r>
      <t xml:space="preserve">                          Pressure Difference, </t>
    </r>
    <r>
      <rPr>
        <b/>
        <sz val="14"/>
        <color theme="1"/>
        <rFont val="Arial"/>
        <family val="2"/>
      </rPr>
      <t>P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 xml:space="preserve"> - P</t>
    </r>
    <r>
      <rPr>
        <b/>
        <vertAlign val="subscript"/>
        <sz val="14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</si>
  <si>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r>
      <t>lbf/ft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</si>
  <si>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   Venturi Meter - Gas Flow Calculations - S.I. Units</t>
  </si>
  <si>
    <t>(ii) enter the gas viscosity in the yellow cell D30 below and that value will be used.</t>
  </si>
  <si>
    <r>
      <t>Temperature Range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C):</t>
    </r>
  </si>
  <si>
    <r>
      <t>Gas Temperature (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C):</t>
    </r>
  </si>
  <si>
    <r>
      <t>Gas Pressure in Pipe (kPa abs</t>
    </r>
    <r>
      <rPr>
        <sz val="10"/>
        <rFont val="Arial"/>
        <family val="2"/>
      </rPr>
      <t>):</t>
    </r>
  </si>
  <si>
    <t>Gas Viscosity (Pa-s):</t>
  </si>
  <si>
    <t>Pa-s</t>
  </si>
  <si>
    <t>Range, ºC</t>
  </si>
  <si>
    <t>Tc, K</t>
  </si>
  <si>
    <t>Pc, kPa</t>
  </si>
  <si>
    <t xml:space="preserve"> -80.7 to 327</t>
  </si>
  <si>
    <t xml:space="preserve"> -193 to 1727</t>
  </si>
  <si>
    <t xml:space="preserve"> -78 to 727</t>
  </si>
  <si>
    <t xml:space="preserve"> -189 to 3000</t>
  </si>
  <si>
    <t xml:space="preserve">  -138 to 727</t>
  </si>
  <si>
    <t xml:space="preserve"> -78 to 1227</t>
  </si>
  <si>
    <t xml:space="preserve"> -205 to 977</t>
  </si>
  <si>
    <t xml:space="preserve">  -73 to 727</t>
  </si>
  <si>
    <t xml:space="preserve">  -183 to 727</t>
  </si>
  <si>
    <t xml:space="preserve">  -104 to 727</t>
  </si>
  <si>
    <t xml:space="preserve">  -253 to 1727</t>
  </si>
  <si>
    <t xml:space="preserve">  -259 to 2727</t>
  </si>
  <si>
    <t xml:space="preserve">  -23 to 207</t>
  </si>
  <si>
    <t xml:space="preserve">  -163 to 1227</t>
  </si>
  <si>
    <t xml:space="preserve">  -210 to 1697</t>
  </si>
  <si>
    <t xml:space="preserve">  -219 to 1227</t>
  </si>
  <si>
    <t xml:space="preserve">  -188 to 727</t>
  </si>
  <si>
    <t xml:space="preserve">  -185 to 727</t>
  </si>
  <si>
    <t xml:space="preserve">  -75 to 727</t>
  </si>
  <si>
    <r>
      <t>Critical Temperature (</t>
    </r>
    <r>
      <rPr>
        <sz val="10"/>
        <rFont val="Arial"/>
        <family val="2"/>
      </rPr>
      <t>K):</t>
    </r>
  </si>
  <si>
    <t>K</t>
  </si>
  <si>
    <t>kPa</t>
  </si>
  <si>
    <t>Critical Pressure (kPa):</t>
  </si>
  <si>
    <t>mm</t>
  </si>
  <si>
    <t xml:space="preserve">   mm</t>
  </si>
  <si>
    <t xml:space="preserve">    drop down list to specify the type of</t>
  </si>
  <si>
    <t>m</t>
  </si>
  <si>
    <r>
      <t>m</t>
    </r>
    <r>
      <rPr>
        <vertAlign val="superscript"/>
        <sz val="10"/>
        <rFont val="Arial"/>
        <family val="2"/>
      </rPr>
      <t>2</t>
    </r>
  </si>
  <si>
    <r>
      <t>kg/m</t>
    </r>
    <r>
      <rPr>
        <vertAlign val="superscript"/>
        <sz val="10"/>
        <rFont val="Arial"/>
        <family val="2"/>
      </rPr>
      <t>3</t>
    </r>
  </si>
  <si>
    <t xml:space="preserve">   kN-m/kgmole-K</t>
  </si>
  <si>
    <t>Pa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</si>
  <si>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</t>
    </r>
  </si>
  <si>
    <r>
      <t>m</t>
    </r>
    <r>
      <rPr>
        <sz val="10"/>
        <rFont val="Arial"/>
        <family val="2"/>
      </rPr>
      <t>/s</t>
    </r>
  </si>
  <si>
    <r>
      <t>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/s</t>
    </r>
  </si>
  <si>
    <r>
      <t xml:space="preserve">  Where:   </t>
    </r>
    <r>
      <rPr>
        <b/>
        <sz val="11"/>
        <rFont val="Arial"/>
        <family val="2"/>
      </rPr>
      <t xml:space="preserve">Q </t>
    </r>
    <r>
      <rPr>
        <sz val="11"/>
        <rFont val="Arial"/>
        <family val="2"/>
      </rPr>
      <t xml:space="preserve"> =  flow rate through the pipe and through the meter, 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/s</t>
    </r>
  </si>
  <si>
    <r>
      <t xml:space="preserve">                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sz val="11"/>
        <rFont val="Arial"/>
        <family val="2"/>
      </rPr>
      <t xml:space="preserve">  =  absolute pressure in the pipe at upstream pressure tap, Pa</t>
    </r>
  </si>
  <si>
    <r>
      <t xml:space="preserve">                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P</t>
    </r>
    <r>
      <rPr>
        <b/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 =  pressure difference between upstream and downstream pressure taps, Pa</t>
    </r>
  </si>
  <si>
    <r>
      <t xml:space="preserve">                 </t>
    </r>
    <r>
      <rPr>
        <b/>
        <sz val="11"/>
        <rFont val="Arial"/>
        <family val="2"/>
      </rPr>
      <t>R</t>
    </r>
    <r>
      <rPr>
        <sz val="11"/>
        <rFont val="Arial"/>
        <family val="2"/>
      </rPr>
      <t xml:space="preserve">  =  Ideal Gas Law Constant = 8.3145 kN-m/kgmole-K</t>
    </r>
  </si>
  <si>
    <r>
      <t xml:space="preserve">                 </t>
    </r>
    <r>
      <rPr>
        <b/>
        <sz val="11"/>
        <rFont val="Arial"/>
        <family val="2"/>
      </rPr>
      <t>T</t>
    </r>
    <r>
      <rPr>
        <b/>
        <vertAlign val="subscript"/>
        <sz val="11"/>
        <rFont val="Arial"/>
        <family val="2"/>
      </rPr>
      <t>1</t>
    </r>
    <r>
      <rPr>
        <sz val="11"/>
        <rFont val="Arial"/>
        <family val="2"/>
      </rPr>
      <t xml:space="preserve">  =  upstream absolute temperature in the pipe, </t>
    </r>
    <r>
      <rPr>
        <sz val="11"/>
        <rFont val="Arial"/>
        <family val="2"/>
      </rPr>
      <t>K</t>
    </r>
  </si>
  <si>
    <r>
      <t xml:space="preserve">                 </t>
    </r>
    <r>
      <rPr>
        <b/>
        <sz val="11"/>
        <rFont val="Arial"/>
        <family val="2"/>
      </rPr>
      <t>g</t>
    </r>
    <r>
      <rPr>
        <sz val="11"/>
        <rFont val="Arial"/>
        <family val="2"/>
      </rPr>
      <t xml:space="preserve">  =  acceleration due to gravity = 9.81 m/s</t>
    </r>
    <r>
      <rPr>
        <vertAlign val="superscript"/>
        <sz val="11"/>
        <rFont val="Arial"/>
        <family val="2"/>
      </rPr>
      <t>2</t>
    </r>
  </si>
  <si>
    <r>
      <t xml:space="preserve">                 </t>
    </r>
    <r>
      <rPr>
        <b/>
        <sz val="11"/>
        <rFont val="Arial"/>
        <family val="2"/>
      </rPr>
      <t>z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z</t>
    </r>
    <r>
      <rPr>
        <b/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= difference between elevation of pipe centerline at pressure tap 1 and pressure tap 2, m</t>
    </r>
  </si>
  <si>
    <t>kN-m/kgmole-K</t>
  </si>
  <si>
    <t>m/s</t>
  </si>
  <si>
    <r>
      <t xml:space="preserve">                 </t>
    </r>
    <r>
      <rPr>
        <b/>
        <sz val="11"/>
        <rFont val="Arial"/>
        <family val="2"/>
      </rPr>
      <t>z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z</t>
    </r>
    <r>
      <rPr>
        <b/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= difference between elevation of pipe centerline at pressure tap 1 and pressure tap 2, mm</t>
    </r>
  </si>
  <si>
    <t>Gas Flow/Venturi Meter Calculations - Flow Rate - S.I. Units</t>
  </si>
  <si>
    <t>Gas Flow/Venturi Meter Calculations - Throat Diam. - S.I. Units</t>
  </si>
  <si>
    <t>Gas Flow/Venturi Meter Calculations - Pressure Diff. - S.I. Units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</si>
  <si>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</si>
  <si>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 xml:space="preserve">  possibility of inadvertently typing over any of the formulas. You may,</t>
  </si>
  <si>
    <t xml:space="preserve">3.  For a gas not on the dropdown list, the user entered properties will be used in the </t>
  </si>
  <si>
    <t>4.  The compressibility factor is calculated using the Redlich-Kwong equation of state.</t>
  </si>
  <si>
    <t>which tabs 3-5 are not useable.</t>
  </si>
  <si>
    <t xml:space="preserve">     specific heat ratio in the indicated yellow cells in column D. Those user entered property</t>
  </si>
  <si>
    <t xml:space="preserve">     values will be used for calculations in all of the other worksheets. The gas temperature</t>
  </si>
  <si>
    <r>
      <rPr>
        <sz val="11"/>
        <color theme="10"/>
        <rFont val="Calibri"/>
        <family val="2"/>
        <scheme val="minor"/>
      </rPr>
      <t xml:space="preserve">       </t>
    </r>
    <r>
      <rPr>
        <u/>
        <sz val="11"/>
        <color theme="10"/>
        <rFont val="Calibri"/>
        <family val="2"/>
        <scheme val="minor"/>
      </rPr>
      <t>Table E7.3 in Piping Handbook, 7th Ed.</t>
    </r>
  </si>
  <si>
    <t xml:space="preserve">   (See link at right for std. pipe size table)</t>
  </si>
  <si>
    <r>
      <t xml:space="preserve">                Elevation diff. between pipe centerline at press. taps, </t>
    </r>
    <r>
      <rPr>
        <b/>
        <sz val="11"/>
        <rFont val="Arial"/>
        <family val="2"/>
      </rPr>
      <t>z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- </t>
    </r>
    <r>
      <rPr>
        <b/>
        <sz val="12"/>
        <color theme="1"/>
        <rFont val="Arial"/>
        <family val="2"/>
      </rPr>
      <t>z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</si>
  <si>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r>
      <rPr>
        <sz val="11"/>
        <color theme="10"/>
        <rFont val="Calibri"/>
        <family val="2"/>
        <scheme val="minor"/>
      </rPr>
      <t xml:space="preserve">     </t>
    </r>
    <r>
      <rPr>
        <u/>
        <sz val="11"/>
        <color theme="10"/>
        <rFont val="Calibri"/>
        <family val="2"/>
        <scheme val="minor"/>
      </rPr>
      <t>Piping Handbook, 7th Ed., Table E2.1M - S.I. units</t>
    </r>
  </si>
  <si>
    <t xml:space="preserve">               (Adapted from:</t>
  </si>
  <si>
    <r>
      <rPr>
        <sz val="11"/>
        <color theme="10"/>
        <rFont val="Calibri"/>
        <family val="2"/>
        <scheme val="minor"/>
      </rPr>
      <t xml:space="preserve">    </t>
    </r>
    <r>
      <rPr>
        <u/>
        <sz val="11"/>
        <color theme="10"/>
        <rFont val="Calibri"/>
        <family val="2"/>
        <scheme val="minor"/>
      </rPr>
      <t>Piping Handbook, 7th Ed., Table E2.1M - S.I. units</t>
    </r>
  </si>
  <si>
    <t xml:space="preserve">              (See the details of the check on the required conditions below.)</t>
  </si>
  <si>
    <t>appear in cell G11 and below in cell F45. The yellow cell G11 needs an initial estimate</t>
  </si>
  <si>
    <t>NOTE:  You must use Excel's "Goal Seek" to find the throat diameter as follows: Place the</t>
  </si>
  <si>
    <t xml:space="preserve">"Data - What If Analysis" in newer versions of Excel). Enter values G32 to "Set cell:", </t>
  </si>
  <si>
    <t>cursor on cell G32 and click on "Goal Seek" (in the "Tools" menu of older versions and under</t>
  </si>
  <si>
    <r>
      <t xml:space="preserve">of </t>
    </r>
    <r>
      <rPr>
        <b/>
        <sz val="11"/>
        <rFont val="Arial"/>
        <family val="2"/>
      </rPr>
      <t>d</t>
    </r>
    <r>
      <rPr>
        <b/>
        <sz val="11"/>
        <color rgb="FF002060"/>
        <rFont val="Times New Roman"/>
        <family val="1"/>
      </rPr>
      <t xml:space="preserve"> to start the iterative process.</t>
    </r>
  </si>
  <si>
    <r>
      <t xml:space="preserve">0 to "To value:", G11 to "By changing cell:", and click on "OK". The calculated value of </t>
    </r>
    <r>
      <rPr>
        <b/>
        <sz val="11"/>
        <rFont val="Arial"/>
        <family val="2"/>
      </rPr>
      <t>d</t>
    </r>
    <r>
      <rPr>
        <b/>
        <sz val="11"/>
        <color rgb="FF002060"/>
        <rFont val="Times New Roman"/>
        <family val="1"/>
      </rPr>
      <t xml:space="preserve"> will</t>
    </r>
  </si>
  <si>
    <t>NOTE:  You must use Excel's "Goal Seek" to find the pressure difference as follows: Place the</t>
  </si>
  <si>
    <t>cursor on cell G30 and click on "Goal Seek" (in the "Tools" menu of older versions and under</t>
  </si>
  <si>
    <t>"Data - What If Analysis" in newer versions of Excel). Enter values G30 to "Set cell:",</t>
  </si>
  <si>
    <t>appear in cell G11 and below in cell F43. The yellow cell G11 needs an initial estimate</t>
  </si>
  <si>
    <r>
      <t xml:space="preserve">0 to "To value:", G11 to "By changing cell:", and click on "OK". The calculated value of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P</t>
    </r>
    <r>
      <rPr>
        <b/>
        <vertAlign val="subscript"/>
        <sz val="11"/>
        <rFont val="Arial"/>
        <family val="2"/>
      </rPr>
      <t>2</t>
    </r>
    <r>
      <rPr>
        <b/>
        <sz val="11"/>
        <color rgb="FF002060"/>
        <rFont val="Times New Roman"/>
        <family val="1"/>
      </rPr>
      <t xml:space="preserve"> will</t>
    </r>
  </si>
  <si>
    <r>
      <t xml:space="preserve">of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P</t>
    </r>
    <r>
      <rPr>
        <b/>
        <vertAlign val="subscript"/>
        <sz val="11"/>
        <rFont val="Arial"/>
        <family val="2"/>
      </rPr>
      <t>2</t>
    </r>
    <r>
      <rPr>
        <b/>
        <sz val="11"/>
        <color rgb="FF002060"/>
        <rFont val="Times New Roman"/>
        <family val="1"/>
      </rPr>
      <t xml:space="preserve"> to start the iterative process.</t>
    </r>
  </si>
  <si>
    <r>
      <rPr>
        <sz val="11"/>
        <color theme="10"/>
        <rFont val="Calibri"/>
        <family val="2"/>
        <scheme val="minor"/>
      </rPr>
      <t xml:space="preserve">      </t>
    </r>
    <r>
      <rPr>
        <u/>
        <sz val="11"/>
        <color theme="10"/>
        <rFont val="Calibri"/>
        <family val="2"/>
        <scheme val="minor"/>
      </rPr>
      <t>Piping Handbook, 7th Ed., Table E2.1M - S.I. units</t>
    </r>
  </si>
  <si>
    <r>
      <t xml:space="preserve">                     Elevation diff. between pipe centerline at press. taps, </t>
    </r>
    <r>
      <rPr>
        <b/>
        <sz val="11"/>
        <rFont val="Arial"/>
        <family val="2"/>
      </rPr>
      <t>z</t>
    </r>
    <r>
      <rPr>
        <b/>
        <vertAlign val="subscript"/>
        <sz val="11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 - </t>
    </r>
    <r>
      <rPr>
        <b/>
        <sz val="12"/>
        <color theme="1"/>
        <rFont val="Arial"/>
        <family val="2"/>
      </rPr>
      <t>z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 xml:space="preserve">  =</t>
    </r>
  </si>
  <si>
    <t>cursor on cell G29 and click on "Goal Seek" (in the "Tools" menu of older versions and under</t>
  </si>
  <si>
    <t>"Data - What If Analysis" in newer versions of Excel). Enter values G29 to "Set cell:",</t>
  </si>
  <si>
    <r>
      <t xml:space="preserve">0 to "To value:", and G11 to "By changing cell:", then click on "OK". The calculated value of </t>
    </r>
    <r>
      <rPr>
        <b/>
        <sz val="11"/>
        <rFont val="Arial"/>
        <family val="2"/>
      </rPr>
      <t>d</t>
    </r>
  </si>
  <si>
    <t>will appear in cell G11 and below in cell F41. The yellow cell G11 needs an initial estimate</t>
  </si>
  <si>
    <r>
      <t xml:space="preserve">0 to "To value:", and G12 to "By changing cell:", then click on "OK". The calculated value of </t>
    </r>
    <r>
      <rPr>
        <b/>
        <sz val="11"/>
        <rFont val="Arial"/>
        <family val="2"/>
      </rPr>
      <t>P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P</t>
    </r>
    <r>
      <rPr>
        <b/>
        <vertAlign val="subscript"/>
        <sz val="11"/>
        <rFont val="Arial"/>
        <family val="2"/>
      </rPr>
      <t>2</t>
    </r>
  </si>
  <si>
    <t>will appear in cell G12 and below in cell F43. The yellow cell G12 needs an initial estimate</t>
  </si>
  <si>
    <t xml:space="preserve">     the gas compressibility factor is calculated with the Redlich-Kwong Equation.</t>
  </si>
  <si>
    <r>
      <t xml:space="preserve">                      Mol Wt, T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&amp; P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:</t>
    </r>
  </si>
  <si>
    <t xml:space="preserve">           Specific Heat Ratio, k:</t>
  </si>
  <si>
    <r>
      <t xml:space="preserve">   reduced temperature. That is:  P/P</t>
    </r>
    <r>
      <rPr>
        <b/>
        <vertAlign val="subscript"/>
        <sz val="12"/>
        <color rgb="FF002060"/>
        <rFont val="Calibri"/>
        <family val="2"/>
        <scheme val="minor"/>
      </rPr>
      <t>c</t>
    </r>
    <r>
      <rPr>
        <b/>
        <sz val="12"/>
        <color rgb="FF002060"/>
        <rFont val="Calibri"/>
        <family val="2"/>
        <scheme val="minor"/>
      </rPr>
      <t xml:space="preserve"> &lt; T/(2T</t>
    </r>
    <r>
      <rPr>
        <b/>
        <vertAlign val="subscript"/>
        <sz val="12"/>
        <color rgb="FF002060"/>
        <rFont val="Calibri"/>
        <family val="2"/>
        <scheme val="minor"/>
      </rPr>
      <t>c</t>
    </r>
    <r>
      <rPr>
        <b/>
        <sz val="12"/>
        <color rgb="FF002060"/>
        <rFont val="Calibri"/>
        <family val="2"/>
        <scheme val="minor"/>
      </rPr>
      <t>)</t>
    </r>
  </si>
  <si>
    <t>above, then the yellow cell, D30, below must be blank.</t>
  </si>
  <si>
    <t>above, then the yellow cell, D45, below must be blank.</t>
  </si>
  <si>
    <t>above, then the yellow cell, D60, below must be blank.</t>
  </si>
  <si>
    <t>above, then the yellow cell, D75, below must be blank.</t>
  </si>
  <si>
    <t>above, then the yellow cell, D90, below must be blank.</t>
  </si>
  <si>
    <r>
      <rPr>
        <sz val="11"/>
        <color theme="10"/>
        <rFont val="Calibri"/>
        <family val="2"/>
        <scheme val="minor"/>
      </rPr>
      <t xml:space="preserve">         </t>
    </r>
    <r>
      <rPr>
        <u/>
        <sz val="11"/>
        <color theme="10"/>
        <rFont val="Calibri"/>
        <family val="2"/>
        <scheme val="minor"/>
      </rPr>
      <t>Handbook of Chemical Engineering Calculations, 4th Ed., Section 1.4, Redlich-Kwong Equation of State</t>
    </r>
  </si>
  <si>
    <t>5.  Tabs 3, 4, and 5 make calculations for flow through Venturi meters meeting one</t>
  </si>
  <si>
    <r>
      <t xml:space="preserve">coefficient, C. </t>
    </r>
    <r>
      <rPr>
        <b/>
        <sz val="12"/>
        <color theme="1"/>
        <rFont val="Arial"/>
        <family val="2"/>
      </rPr>
      <t>These tabs are available to use with Venturi meters for</t>
    </r>
  </si>
  <si>
    <t xml:space="preserve">    ISO 5167 standard converging Venturi section being used.</t>
  </si>
  <si>
    <t xml:space="preserve">  The equation for gas flow rate through a Venturi meter (horizontal, inclined or vertical) is:</t>
  </si>
  <si>
    <r>
      <t xml:space="preserve">                 </t>
    </r>
    <r>
      <rPr>
        <b/>
        <sz val="11"/>
        <rFont val="Arial"/>
        <family val="2"/>
      </rPr>
      <t>A</t>
    </r>
    <r>
      <rPr>
        <b/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 =  Venturi throat area, m</t>
    </r>
    <r>
      <rPr>
        <vertAlign val="superscript"/>
        <sz val="11"/>
        <rFont val="Arial"/>
        <family val="2"/>
      </rPr>
      <t>2</t>
    </r>
  </si>
  <si>
    <t xml:space="preserve">  The equation for gas pressure difference through a Venturi meter (horizontal, inclined or vertical) is:</t>
  </si>
  <si>
    <t xml:space="preserve">   ISO 5167 standard converging Venturi section being used.</t>
  </si>
  <si>
    <t xml:space="preserve">    the Redlich-Kwong equation, the reduced</t>
  </si>
  <si>
    <r>
      <rPr>
        <b/>
        <sz val="12"/>
        <rFont val="Arial"/>
        <family val="2"/>
      </rPr>
      <t>Tab 1.</t>
    </r>
    <r>
      <rPr>
        <sz val="12"/>
        <rFont val="Arial"/>
        <family val="2"/>
      </rPr>
      <t xml:space="preserve">  Contents (current tab)</t>
    </r>
  </si>
  <si>
    <t xml:space="preserve">  in cell(s) D14 and/or D15 above.</t>
  </si>
  <si>
    <t xml:space="preserve">     from the dropdown list in cell D12 and enter the gas temperature and pressure in cells D14</t>
  </si>
  <si>
    <t xml:space="preserve">     and D15. The gas viscosity, molecular weight, critical temperature, critical pressure, and</t>
  </si>
  <si>
    <t xml:space="preserve">     and pressure must be entered in the yellow cells, D14 and D15.</t>
  </si>
  <si>
    <r>
      <t xml:space="preserve">     For accurate results P and T values should be such that P/P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 &lt; T/(2T</t>
    </r>
    <r>
      <rPr>
        <vertAlign val="subscript"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).</t>
    </r>
  </si>
  <si>
    <t>Table 2-138 in Perry's Chemical Engineers' Handbook, 9th Ed.</t>
  </si>
  <si>
    <t>Table 2-106 in Perry's Chemical Engineers' Handbook, 9th Ed.</t>
  </si>
  <si>
    <t xml:space="preserve">   Perry's Chemical Engineers' Handbook, 9th Ed, Sec. 8.8.4, Flow Measurements</t>
  </si>
  <si>
    <t>Perry's Chemical Engineers' Handbook, 9th Ed, Sec. 10.1.12, Differential Pressure Flowmeters</t>
  </si>
  <si>
    <t xml:space="preserve">   Perry's Chemical Engineers' Handbook, 9th Ed, Equation 10-25 )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</si>
</sst>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E+00"/>
    <numFmt numFmtId="166" formatCode="0.0000000"/>
    <numFmt numFmtId="167" formatCode="0.0"/>
    <numFmt numFmtId="168" formatCode="0.0000"/>
    <numFmt numFmtId="169" formatCode="0.000E+00"/>
    <numFmt numFmtId="170" formatCode="0.00000"/>
    <numFmt numFmtId="171" formatCode="0.000000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1"/>
      <name val="Calibri"/>
      <family val="2"/>
      <scheme val="minor"/>
    </font>
    <font>
      <sz val="14"/>
      <name val="Arial"/>
      <family val="2"/>
    </font>
    <font>
      <b/>
      <sz val="19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color indexed="12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vertAlign val="superscript"/>
      <sz val="10"/>
      <name val="Arial"/>
      <family val="2"/>
    </font>
    <font>
      <b/>
      <vertAlign val="subscript"/>
      <sz val="12"/>
      <color rgb="FF002060"/>
      <name val="Calibri"/>
      <family val="2"/>
      <scheme val="minor"/>
    </font>
    <font>
      <b/>
      <sz val="10"/>
      <color indexed="12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rgb="FF002060"/>
      <name val="Calibri"/>
      <family val="2"/>
      <scheme val="minor"/>
    </font>
    <font>
      <b/>
      <sz val="11"/>
      <color indexed="12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8" tint="-0.24994659260841701"/>
      <name val="Calibri"/>
      <family val="2"/>
      <scheme val="minor"/>
    </font>
    <font>
      <b/>
      <vertAlign val="subscript"/>
      <sz val="12"/>
      <color theme="8" tint="-0.24994659260841701"/>
      <name val="Calibri"/>
      <family val="2"/>
      <scheme val="minor"/>
    </font>
    <font>
      <b/>
      <sz val="14"/>
      <color theme="8" tint="-0.24994659260841701"/>
      <name val="Calibri"/>
      <family val="2"/>
      <scheme val="minor"/>
    </font>
    <font>
      <b/>
      <vertAlign val="subscript"/>
      <sz val="11"/>
      <name val="Arial"/>
      <family val="2"/>
    </font>
    <font>
      <b/>
      <vertAlign val="superscript"/>
      <sz val="11"/>
      <name val="Arial"/>
      <family val="2"/>
    </font>
    <font>
      <vertAlign val="subscript"/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name val="Symbol"/>
      <family val="1"/>
      <charset val="2"/>
    </font>
    <font>
      <sz val="11"/>
      <color theme="1"/>
      <name val="Symbol"/>
      <family val="1"/>
      <charset val="2"/>
    </font>
    <font>
      <b/>
      <vertAlign val="superscript"/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sz val="10"/>
      <color indexed="10"/>
      <name val="Arial"/>
      <family val="2"/>
    </font>
    <font>
      <sz val="9"/>
      <name val="Arial"/>
      <family val="2"/>
    </font>
    <font>
      <b/>
      <sz val="14"/>
      <color theme="1"/>
      <name val="Arial"/>
      <family val="2"/>
    </font>
    <font>
      <b/>
      <u/>
      <sz val="10"/>
      <name val="Arial"/>
      <family val="2"/>
    </font>
    <font>
      <b/>
      <sz val="11"/>
      <color rgb="FF002060"/>
      <name val="Calibri"/>
      <family val="2"/>
      <scheme val="minor"/>
    </font>
    <font>
      <vertAlign val="superscript"/>
      <sz val="11"/>
      <name val="Arial"/>
      <family val="2"/>
    </font>
    <font>
      <b/>
      <sz val="11"/>
      <color rgb="FF002060"/>
      <name val="Times New Roman"/>
      <family val="1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Arial"/>
      <family val="2"/>
    </font>
    <font>
      <b/>
      <sz val="12"/>
      <color theme="8"/>
      <name val="Arial"/>
      <family val="2"/>
    </font>
    <font>
      <b/>
      <vertAlign val="subscript"/>
      <sz val="14"/>
      <color theme="1"/>
      <name val="Arial"/>
      <family val="2"/>
    </font>
    <font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2FF20E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3" fillId="0" borderId="0"/>
    <xf numFmtId="0" fontId="18" fillId="0" borderId="0"/>
    <xf numFmtId="0" fontId="18" fillId="0" borderId="0"/>
    <xf numFmtId="0" fontId="18" fillId="0" borderId="0"/>
  </cellStyleXfs>
  <cellXfs count="331">
    <xf numFmtId="0" fontId="0" fillId="0" borderId="0" xfId="0"/>
    <xf numFmtId="0" fontId="4" fillId="0" borderId="0" xfId="0" applyFont="1"/>
    <xf numFmtId="0" fontId="6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6" fillId="2" borderId="1" xfId="0" applyFont="1" applyFill="1" applyBorder="1"/>
    <xf numFmtId="0" fontId="7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7" fillId="2" borderId="4" xfId="0" applyFont="1" applyFill="1" applyBorder="1"/>
    <xf numFmtId="0" fontId="7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8" fillId="0" borderId="0" xfId="0" applyFont="1"/>
    <xf numFmtId="0" fontId="9" fillId="0" borderId="0" xfId="0" applyFont="1"/>
    <xf numFmtId="0" fontId="0" fillId="2" borderId="4" xfId="0" applyFill="1" applyBorder="1"/>
    <xf numFmtId="0" fontId="10" fillId="2" borderId="4" xfId="0" applyFont="1" applyFill="1" applyBorder="1"/>
    <xf numFmtId="0" fontId="11" fillId="2" borderId="4" xfId="0" applyFont="1" applyFill="1" applyBorder="1"/>
    <xf numFmtId="0" fontId="12" fillId="0" borderId="0" xfId="0" applyFont="1"/>
    <xf numFmtId="0" fontId="11" fillId="0" borderId="0" xfId="0" applyFont="1"/>
    <xf numFmtId="0" fontId="15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9" fillId="0" borderId="0" xfId="0" applyFont="1" applyFill="1" applyBorder="1"/>
    <xf numFmtId="0" fontId="7" fillId="0" borderId="0" xfId="0" applyFont="1" applyAlignment="1">
      <alignment horizontal="center"/>
    </xf>
    <xf numFmtId="0" fontId="0" fillId="4" borderId="0" xfId="0" applyFill="1" applyBorder="1" applyProtection="1">
      <protection locked="0"/>
    </xf>
    <xf numFmtId="0" fontId="0" fillId="4" borderId="0" xfId="0" applyFill="1" applyBorder="1"/>
    <xf numFmtId="0" fontId="0" fillId="4" borderId="5" xfId="0" applyFill="1" applyBorder="1"/>
    <xf numFmtId="0" fontId="0" fillId="4" borderId="4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21" fillId="0" borderId="0" xfId="0" applyFont="1"/>
    <xf numFmtId="0" fontId="21" fillId="0" borderId="0" xfId="0" applyFont="1" applyAlignment="1">
      <alignment horizontal="left"/>
    </xf>
    <xf numFmtId="0" fontId="1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/>
    <xf numFmtId="0" fontId="0" fillId="4" borderId="4" xfId="0" applyFill="1" applyBorder="1"/>
    <xf numFmtId="164" fontId="0" fillId="0" borderId="0" xfId="0" applyNumberFormat="1"/>
    <xf numFmtId="0" fontId="3" fillId="0" borderId="0" xfId="2" applyFill="1" applyBorder="1" applyAlignment="1" applyProtection="1"/>
    <xf numFmtId="0" fontId="0" fillId="5" borderId="10" xfId="0" applyFill="1" applyBorder="1" applyAlignment="1" applyProtection="1">
      <alignment horizontal="center"/>
      <protection locked="0"/>
    </xf>
    <xf numFmtId="0" fontId="23" fillId="0" borderId="0" xfId="0" applyFont="1"/>
    <xf numFmtId="0" fontId="0" fillId="4" borderId="10" xfId="0" applyFill="1" applyBorder="1" applyAlignment="1">
      <alignment horizontal="center"/>
    </xf>
    <xf numFmtId="0" fontId="0" fillId="4" borderId="11" xfId="0" applyFill="1" applyBorder="1"/>
    <xf numFmtId="49" fontId="0" fillId="4" borderId="12" xfId="0" applyNumberFormat="1" applyFill="1" applyBorder="1"/>
    <xf numFmtId="0" fontId="0" fillId="4" borderId="12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/>
    <xf numFmtId="1" fontId="0" fillId="5" borderId="10" xfId="0" applyNumberFormat="1" applyFill="1" applyBorder="1" applyAlignment="1" applyProtection="1">
      <alignment horizontal="center"/>
      <protection locked="0"/>
    </xf>
    <xf numFmtId="0" fontId="0" fillId="4" borderId="14" xfId="0" applyFill="1" applyBorder="1"/>
    <xf numFmtId="0" fontId="0" fillId="4" borderId="15" xfId="0" applyFill="1" applyBorder="1"/>
    <xf numFmtId="0" fontId="23" fillId="0" borderId="0" xfId="0" applyFont="1" applyAlignment="1">
      <alignment vertical="top"/>
    </xf>
    <xf numFmtId="49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0" fontId="26" fillId="4" borderId="0" xfId="0" applyNumberFormat="1" applyFont="1" applyFill="1" applyBorder="1" applyAlignment="1">
      <alignment horizontal="center"/>
    </xf>
    <xf numFmtId="165" fontId="26" fillId="4" borderId="0" xfId="0" applyNumberFormat="1" applyFont="1" applyFill="1" applyBorder="1" applyAlignment="1">
      <alignment horizontal="center"/>
    </xf>
    <xf numFmtId="166" fontId="26" fillId="4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Border="1"/>
    <xf numFmtId="49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7" fontId="0" fillId="4" borderId="0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0" borderId="0" xfId="0" applyBorder="1"/>
    <xf numFmtId="0" fontId="30" fillId="0" borderId="0" xfId="0" applyFont="1"/>
    <xf numFmtId="0" fontId="30" fillId="0" borderId="0" xfId="0" applyFont="1" applyBorder="1" applyAlignment="1">
      <alignment vertical="top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7" xfId="0" applyFill="1" applyBorder="1" applyAlignment="1" applyProtection="1">
      <alignment horizontal="center"/>
      <protection locked="0"/>
    </xf>
    <xf numFmtId="0" fontId="31" fillId="3" borderId="0" xfId="0" applyFont="1" applyFill="1" applyBorder="1"/>
    <xf numFmtId="165" fontId="31" fillId="3" borderId="0" xfId="0" applyNumberFormat="1" applyFont="1" applyFill="1" applyBorder="1" applyAlignment="1">
      <alignment horizontal="center"/>
    </xf>
    <xf numFmtId="0" fontId="32" fillId="3" borderId="0" xfId="0" applyFont="1" applyFill="1" applyBorder="1" applyAlignment="1">
      <alignment horizontal="center"/>
    </xf>
    <xf numFmtId="0" fontId="34" fillId="4" borderId="0" xfId="3" applyFont="1" applyFill="1" applyBorder="1" applyAlignment="1">
      <alignment horizontal="center"/>
    </xf>
    <xf numFmtId="0" fontId="10" fillId="0" borderId="0" xfId="0" applyFont="1"/>
    <xf numFmtId="0" fontId="18" fillId="0" borderId="0" xfId="0" applyFont="1"/>
    <xf numFmtId="2" fontId="0" fillId="4" borderId="21" xfId="0" applyNumberForma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0" fillId="4" borderId="22" xfId="0" applyFill="1" applyBorder="1"/>
    <xf numFmtId="0" fontId="0" fillId="4" borderId="23" xfId="0" applyFill="1" applyBorder="1"/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4" xfId="0" applyFill="1" applyBorder="1"/>
    <xf numFmtId="2" fontId="31" fillId="3" borderId="0" xfId="0" applyNumberFormat="1" applyFont="1" applyFill="1" applyBorder="1" applyAlignment="1">
      <alignment horizontal="center"/>
    </xf>
    <xf numFmtId="167" fontId="0" fillId="4" borderId="21" xfId="0" applyNumberFormat="1" applyFill="1" applyBorder="1" applyAlignment="1">
      <alignment horizontal="center"/>
    </xf>
    <xf numFmtId="0" fontId="10" fillId="0" borderId="0" xfId="0" applyFont="1" applyAlignment="1"/>
    <xf numFmtId="164" fontId="31" fillId="3" borderId="0" xfId="0" applyNumberFormat="1" applyFont="1" applyFill="1" applyBorder="1" applyAlignment="1">
      <alignment horizontal="center"/>
    </xf>
    <xf numFmtId="0" fontId="3" fillId="0" borderId="0" xfId="2" applyAlignment="1" applyProtection="1"/>
    <xf numFmtId="0" fontId="11" fillId="6" borderId="1" xfId="0" applyFont="1" applyFill="1" applyBorder="1" applyAlignment="1">
      <alignment horizontal="left"/>
    </xf>
    <xf numFmtId="49" fontId="0" fillId="6" borderId="2" xfId="0" applyNumberFormat="1" applyFill="1" applyBorder="1"/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35" fillId="0" borderId="0" xfId="0" applyFont="1"/>
    <xf numFmtId="0" fontId="10" fillId="6" borderId="4" xfId="0" applyFont="1" applyFill="1" applyBorder="1" applyAlignment="1">
      <alignment horizontal="left"/>
    </xf>
    <xf numFmtId="0" fontId="0" fillId="6" borderId="0" xfId="0" applyFill="1" applyBorder="1"/>
    <xf numFmtId="0" fontId="7" fillId="6" borderId="0" xfId="0" applyFont="1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6" fillId="0" borderId="0" xfId="0" applyFont="1"/>
    <xf numFmtId="0" fontId="11" fillId="6" borderId="4" xfId="0" applyFont="1" applyFill="1" applyBorder="1" applyAlignment="1">
      <alignment horizontal="left"/>
    </xf>
    <xf numFmtId="0" fontId="2" fillId="4" borderId="1" xfId="0" applyFont="1" applyFill="1" applyBorder="1" applyAlignment="1" applyProtection="1">
      <alignment vertical="center"/>
      <protection locked="0"/>
    </xf>
    <xf numFmtId="2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vertical="top"/>
      <protection locked="0"/>
    </xf>
    <xf numFmtId="0" fontId="0" fillId="4" borderId="3" xfId="0" applyFill="1" applyBorder="1" applyAlignment="1" applyProtection="1">
      <alignment horizontal="left"/>
      <protection locked="0"/>
    </xf>
    <xf numFmtId="49" fontId="9" fillId="7" borderId="4" xfId="0" applyNumberFormat="1" applyFont="1" applyFill="1" applyBorder="1" applyAlignment="1">
      <alignment horizontal="left" vertical="center"/>
    </xf>
    <xf numFmtId="168" fontId="8" fillId="7" borderId="25" xfId="0" applyNumberFormat="1" applyFont="1" applyFill="1" applyBorder="1" applyAlignment="1">
      <alignment horizontal="center" vertical="center"/>
    </xf>
    <xf numFmtId="0" fontId="38" fillId="7" borderId="0" xfId="0" applyFont="1" applyFill="1" applyBorder="1"/>
    <xf numFmtId="0" fontId="0" fillId="7" borderId="0" xfId="0" applyFill="1" applyBorder="1"/>
    <xf numFmtId="0" fontId="0" fillId="7" borderId="5" xfId="0" applyFill="1" applyBorder="1"/>
    <xf numFmtId="49" fontId="0" fillId="6" borderId="0" xfId="0" applyNumberFormat="1" applyFill="1" applyBorder="1"/>
    <xf numFmtId="0" fontId="3" fillId="6" borderId="0" xfId="2" applyFill="1" applyBorder="1" applyAlignment="1" applyProtection="1"/>
    <xf numFmtId="0" fontId="0" fillId="7" borderId="4" xfId="0" applyFill="1" applyBorder="1"/>
    <xf numFmtId="0" fontId="2" fillId="4" borderId="6" xfId="0" applyFont="1" applyFill="1" applyBorder="1" applyAlignment="1" applyProtection="1">
      <alignment vertical="center"/>
      <protection locked="0"/>
    </xf>
    <xf numFmtId="2" fontId="0" fillId="4" borderId="7" xfId="0" applyNumberForma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vertical="top"/>
      <protection locked="0"/>
    </xf>
    <xf numFmtId="0" fontId="0" fillId="4" borderId="8" xfId="0" applyFill="1" applyBorder="1" applyAlignment="1" applyProtection="1">
      <alignment horizontal="left"/>
      <protection locked="0"/>
    </xf>
    <xf numFmtId="168" fontId="19" fillId="4" borderId="21" xfId="0" applyNumberFormat="1" applyFont="1" applyFill="1" applyBorder="1" applyAlignment="1">
      <alignment horizontal="center"/>
    </xf>
    <xf numFmtId="169" fontId="19" fillId="4" borderId="21" xfId="0" applyNumberFormat="1" applyFont="1" applyFill="1" applyBorder="1" applyAlignment="1">
      <alignment horizontal="center"/>
    </xf>
    <xf numFmtId="0" fontId="18" fillId="4" borderId="5" xfId="4" applyFont="1" applyFill="1" applyBorder="1" applyAlignment="1" applyProtection="1">
      <alignment horizontal="center"/>
      <protection locked="0"/>
    </xf>
    <xf numFmtId="168" fontId="19" fillId="4" borderId="9" xfId="0" applyNumberFormat="1" applyFont="1" applyFill="1" applyBorder="1" applyAlignment="1">
      <alignment horizontal="center"/>
    </xf>
    <xf numFmtId="169" fontId="19" fillId="4" borderId="9" xfId="0" applyNumberFormat="1" applyFont="1" applyFill="1" applyBorder="1" applyAlignment="1">
      <alignment horizontal="center"/>
    </xf>
    <xf numFmtId="0" fontId="0" fillId="4" borderId="5" xfId="0" applyFill="1" applyBorder="1" applyAlignment="1" applyProtection="1">
      <alignment horizontal="left"/>
      <protection locked="0"/>
    </xf>
    <xf numFmtId="0" fontId="9" fillId="6" borderId="4" xfId="0" applyFont="1" applyFill="1" applyBorder="1" applyAlignment="1">
      <alignment horizontal="left"/>
    </xf>
    <xf numFmtId="170" fontId="19" fillId="4" borderId="9" xfId="0" applyNumberFormat="1" applyFont="1" applyFill="1" applyBorder="1" applyAlignment="1">
      <alignment horizontal="center"/>
    </xf>
    <xf numFmtId="2" fontId="0" fillId="4" borderId="0" xfId="0" applyNumberFormat="1" applyFill="1" applyBorder="1" applyAlignment="1" applyProtection="1">
      <alignment horizontal="center"/>
      <protection locked="0"/>
    </xf>
    <xf numFmtId="0" fontId="12" fillId="6" borderId="0" xfId="0" applyFont="1" applyFill="1" applyBorder="1"/>
    <xf numFmtId="0" fontId="2" fillId="4" borderId="4" xfId="0" applyFont="1" applyFill="1" applyBorder="1" applyAlignment="1" applyProtection="1">
      <alignment vertical="center"/>
      <protection locked="0"/>
    </xf>
    <xf numFmtId="0" fontId="0" fillId="4" borderId="0" xfId="0" applyFill="1" applyBorder="1" applyAlignment="1" applyProtection="1">
      <alignment vertic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11" fillId="6" borderId="6" xfId="0" applyFont="1" applyFill="1" applyBorder="1" applyAlignment="1">
      <alignment horizontal="left"/>
    </xf>
    <xf numFmtId="49" fontId="0" fillId="6" borderId="7" xfId="0" applyNumberFormat="1" applyFill="1" applyBorder="1"/>
    <xf numFmtId="0" fontId="0" fillId="6" borderId="7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vertical="top"/>
      <protection locked="0"/>
    </xf>
    <xf numFmtId="2" fontId="42" fillId="4" borderId="0" xfId="0" applyNumberFormat="1" applyFont="1" applyFill="1" applyBorder="1" applyAlignment="1" applyProtection="1">
      <alignment horizontal="left"/>
      <protection locked="0"/>
    </xf>
    <xf numFmtId="2" fontId="19" fillId="4" borderId="9" xfId="0" applyNumberFormat="1" applyFont="1" applyFill="1" applyBorder="1" applyAlignment="1">
      <alignment horizontal="center"/>
    </xf>
    <xf numFmtId="0" fontId="23" fillId="4" borderId="6" xfId="0" applyFont="1" applyFill="1" applyBorder="1" applyAlignment="1" applyProtection="1">
      <alignment vertical="top"/>
      <protection locked="0"/>
    </xf>
    <xf numFmtId="0" fontId="9" fillId="6" borderId="0" xfId="0" applyFont="1" applyFill="1" applyBorder="1" applyAlignment="1">
      <alignment horizontal="left"/>
    </xf>
    <xf numFmtId="0" fontId="47" fillId="0" borderId="0" xfId="0" applyFont="1"/>
    <xf numFmtId="0" fontId="48" fillId="0" borderId="0" xfId="0" applyFont="1"/>
    <xf numFmtId="0" fontId="0" fillId="2" borderId="1" xfId="0" applyFill="1" applyBorder="1"/>
    <xf numFmtId="0" fontId="11" fillId="2" borderId="1" xfId="0" applyFont="1" applyFill="1" applyBorder="1"/>
    <xf numFmtId="0" fontId="10" fillId="2" borderId="2" xfId="0" applyFont="1" applyFill="1" applyBorder="1"/>
    <xf numFmtId="0" fontId="0" fillId="2" borderId="4" xfId="0" applyFill="1" applyBorder="1" applyAlignment="1">
      <alignment horizontal="center"/>
    </xf>
    <xf numFmtId="49" fontId="0" fillId="2" borderId="0" xfId="0" applyNumberFormat="1" applyFill="1" applyBorder="1"/>
    <xf numFmtId="0" fontId="10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49" fillId="0" borderId="0" xfId="0" applyFont="1"/>
    <xf numFmtId="0" fontId="21" fillId="0" borderId="0" xfId="0" applyFont="1" applyAlignment="1">
      <alignment horizontal="center"/>
    </xf>
    <xf numFmtId="0" fontId="50" fillId="4" borderId="1" xfId="0" applyFont="1" applyFill="1" applyBorder="1" applyAlignment="1" applyProtection="1">
      <protection locked="0"/>
    </xf>
    <xf numFmtId="0" fontId="50" fillId="4" borderId="2" xfId="0" applyFont="1" applyFill="1" applyBorder="1" applyAlignment="1" applyProtection="1">
      <protection locked="0"/>
    </xf>
    <xf numFmtId="0" fontId="50" fillId="4" borderId="3" xfId="0" applyFont="1" applyFill="1" applyBorder="1" applyAlignment="1" applyProtection="1">
      <protection locked="0"/>
    </xf>
    <xf numFmtId="167" fontId="0" fillId="5" borderId="9" xfId="0" applyNumberFormat="1" applyFill="1" applyBorder="1" applyAlignment="1" applyProtection="1">
      <alignment horizontal="center"/>
      <protection locked="0"/>
    </xf>
    <xf numFmtId="0" fontId="18" fillId="4" borderId="0" xfId="4" applyFon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vertical="top"/>
      <protection locked="0"/>
    </xf>
    <xf numFmtId="0" fontId="19" fillId="2" borderId="4" xfId="0" applyFont="1" applyFill="1" applyBorder="1"/>
    <xf numFmtId="0" fontId="18" fillId="2" borderId="0" xfId="0" applyFont="1" applyFill="1" applyBorder="1" applyAlignment="1">
      <alignment horizontal="left"/>
    </xf>
    <xf numFmtId="167" fontId="0" fillId="5" borderId="9" xfId="1" applyNumberFormat="1" applyFont="1" applyFill="1" applyBorder="1" applyAlignment="1" applyProtection="1">
      <alignment horizontal="center"/>
      <protection locked="0"/>
    </xf>
    <xf numFmtId="0" fontId="18" fillId="4" borderId="5" xfId="4" applyFont="1" applyFill="1" applyBorder="1" applyAlignment="1" applyProtection="1">
      <alignment horizontal="center"/>
    </xf>
    <xf numFmtId="0" fontId="18" fillId="4" borderId="0" xfId="4" applyFont="1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vertical="center"/>
      <protection locked="0"/>
    </xf>
    <xf numFmtId="0" fontId="9" fillId="2" borderId="4" xfId="0" applyFont="1" applyFill="1" applyBorder="1" applyAlignment="1">
      <alignment horizontal="left"/>
    </xf>
    <xf numFmtId="0" fontId="12" fillId="4" borderId="4" xfId="0" applyFont="1" applyFill="1" applyBorder="1" applyAlignment="1" applyProtection="1">
      <alignment vertical="top"/>
      <protection locked="0"/>
    </xf>
    <xf numFmtId="0" fontId="12" fillId="4" borderId="4" xfId="0" applyFont="1" applyFill="1" applyBorder="1" applyAlignment="1" applyProtection="1">
      <protection locked="0"/>
    </xf>
    <xf numFmtId="0" fontId="12" fillId="4" borderId="4" xfId="0" applyFont="1" applyFill="1" applyBorder="1" applyProtection="1">
      <protection locked="0"/>
    </xf>
    <xf numFmtId="0" fontId="12" fillId="4" borderId="4" xfId="0" applyFont="1" applyFill="1" applyBorder="1" applyAlignment="1" applyProtection="1">
      <alignment vertical="center"/>
      <protection locked="0"/>
    </xf>
    <xf numFmtId="0" fontId="12" fillId="4" borderId="6" xfId="0" applyFont="1" applyFill="1" applyBorder="1" applyAlignment="1" applyProtection="1">
      <alignment vertical="center"/>
      <protection locked="0"/>
    </xf>
    <xf numFmtId="164" fontId="0" fillId="4" borderId="7" xfId="0" applyNumberFormat="1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49" fillId="0" borderId="0" xfId="0" applyFont="1" applyAlignment="1"/>
    <xf numFmtId="0" fontId="0" fillId="4" borderId="1" xfId="0" applyFill="1" applyBorder="1" applyAlignment="1" applyProtection="1">
      <alignment vertical="top"/>
      <protection locked="0"/>
    </xf>
    <xf numFmtId="164" fontId="19" fillId="4" borderId="9" xfId="0" applyNumberFormat="1" applyFont="1" applyFill="1" applyBorder="1" applyAlignment="1">
      <alignment horizontal="center"/>
    </xf>
    <xf numFmtId="0" fontId="0" fillId="4" borderId="4" xfId="0" applyFill="1" applyBorder="1" applyAlignment="1" applyProtection="1">
      <protection locked="0"/>
    </xf>
    <xf numFmtId="168" fontId="19" fillId="4" borderId="9" xfId="0" applyNumberFormat="1" applyFont="1" applyFill="1" applyBorder="1" applyAlignment="1" applyProtection="1">
      <alignment horizontal="center"/>
    </xf>
    <xf numFmtId="0" fontId="18" fillId="4" borderId="0" xfId="4" applyFont="1" applyFill="1" applyBorder="1" applyAlignment="1" applyProtection="1">
      <alignment horizontal="center"/>
    </xf>
    <xf numFmtId="0" fontId="0" fillId="4" borderId="0" xfId="0" applyFill="1" applyBorder="1" applyProtection="1"/>
    <xf numFmtId="2" fontId="0" fillId="4" borderId="0" xfId="0" applyNumberFormat="1" applyFill="1" applyBorder="1" applyAlignment="1" applyProtection="1">
      <alignment horizontal="center"/>
    </xf>
    <xf numFmtId="0" fontId="0" fillId="4" borderId="0" xfId="0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center"/>
    </xf>
    <xf numFmtId="167" fontId="19" fillId="4" borderId="9" xfId="0" applyNumberFormat="1" applyFont="1" applyFill="1" applyBorder="1" applyAlignment="1" applyProtection="1">
      <alignment horizontal="center"/>
    </xf>
    <xf numFmtId="0" fontId="0" fillId="4" borderId="0" xfId="0" applyFill="1" applyBorder="1" applyAlignment="1" applyProtection="1"/>
    <xf numFmtId="2" fontId="19" fillId="4" borderId="9" xfId="0" applyNumberFormat="1" applyFont="1" applyFill="1" applyBorder="1" applyAlignment="1" applyProtection="1">
      <alignment horizontal="center"/>
    </xf>
    <xf numFmtId="169" fontId="19" fillId="4" borderId="9" xfId="0" applyNumberFormat="1" applyFont="1" applyFill="1" applyBorder="1" applyAlignment="1" applyProtection="1">
      <alignment horizontal="center"/>
    </xf>
    <xf numFmtId="0" fontId="51" fillId="4" borderId="7" xfId="0" applyFont="1" applyFill="1" applyBorder="1" applyProtection="1">
      <protection locked="0"/>
    </xf>
    <xf numFmtId="0" fontId="53" fillId="0" borderId="0" xfId="0" applyFont="1"/>
    <xf numFmtId="0" fontId="50" fillId="4" borderId="2" xfId="0" applyFont="1" applyFill="1" applyBorder="1" applyAlignment="1" applyProtection="1"/>
    <xf numFmtId="0" fontId="50" fillId="4" borderId="3" xfId="0" applyFont="1" applyFill="1" applyBorder="1" applyAlignment="1" applyProtection="1"/>
    <xf numFmtId="2" fontId="6" fillId="6" borderId="25" xfId="4" applyNumberFormat="1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35" fillId="4" borderId="4" xfId="0" applyFont="1" applyFill="1" applyBorder="1" applyAlignment="1" applyProtection="1">
      <protection locked="0"/>
    </xf>
    <xf numFmtId="0" fontId="0" fillId="4" borderId="5" xfId="0" applyFont="1" applyFill="1" applyBorder="1" applyAlignment="1" applyProtection="1"/>
    <xf numFmtId="0" fontId="11" fillId="2" borderId="4" xfId="0" applyFont="1" applyFill="1" applyBorder="1" applyAlignment="1">
      <alignment horizontal="left" vertical="top"/>
    </xf>
    <xf numFmtId="0" fontId="35" fillId="4" borderId="4" xfId="0" applyFont="1" applyFill="1" applyBorder="1" applyAlignment="1" applyProtection="1">
      <alignment vertical="top"/>
      <protection locked="0"/>
    </xf>
    <xf numFmtId="10" fontId="6" fillId="6" borderId="25" xfId="1" applyNumberFormat="1" applyFont="1" applyFill="1" applyBorder="1" applyAlignment="1" applyProtection="1">
      <alignment horizontal="center" vertical="center"/>
    </xf>
    <xf numFmtId="168" fontId="6" fillId="6" borderId="25" xfId="0" applyNumberFormat="1" applyFont="1" applyFill="1" applyBorder="1" applyAlignment="1" applyProtection="1">
      <alignment horizontal="center" vertical="center"/>
    </xf>
    <xf numFmtId="0" fontId="0" fillId="4" borderId="5" xfId="0" applyFont="1" applyFill="1" applyBorder="1" applyAlignment="1" applyProtection="1">
      <protection locked="0"/>
    </xf>
    <xf numFmtId="0" fontId="0" fillId="4" borderId="6" xfId="0" applyFill="1" applyBorder="1" applyAlignment="1" applyProtection="1">
      <alignment vertical="top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ont="1" applyFill="1" applyBorder="1" applyAlignment="1" applyProtection="1">
      <protection locked="0"/>
    </xf>
    <xf numFmtId="0" fontId="10" fillId="0" borderId="0" xfId="5" applyFont="1" applyAlignment="1">
      <alignment vertical="top"/>
    </xf>
    <xf numFmtId="0" fontId="0" fillId="0" borderId="0" xfId="0" applyAlignment="1">
      <alignment vertical="top"/>
    </xf>
    <xf numFmtId="2" fontId="0" fillId="4" borderId="2" xfId="0" applyNumberFormat="1" applyFill="1" applyBorder="1" applyAlignment="1" applyProtection="1">
      <alignment horizontal="center" vertical="top"/>
      <protection locked="0"/>
    </xf>
    <xf numFmtId="0" fontId="0" fillId="4" borderId="2" xfId="0" applyFill="1" applyBorder="1" applyAlignment="1" applyProtection="1">
      <alignment horizontal="left" vertical="top"/>
      <protection locked="0"/>
    </xf>
    <xf numFmtId="0" fontId="0" fillId="4" borderId="3" xfId="0" applyFill="1" applyBorder="1" applyAlignment="1" applyProtection="1">
      <alignment horizontal="left" vertical="top"/>
      <protection locked="0"/>
    </xf>
    <xf numFmtId="0" fontId="9" fillId="4" borderId="4" xfId="0" applyFont="1" applyFill="1" applyBorder="1" applyAlignment="1" applyProtection="1">
      <alignment vertical="top"/>
    </xf>
    <xf numFmtId="1" fontId="19" fillId="4" borderId="9" xfId="0" applyNumberFormat="1" applyFont="1" applyFill="1" applyBorder="1" applyAlignment="1" applyProtection="1">
      <alignment horizontal="center" vertical="center"/>
    </xf>
    <xf numFmtId="0" fontId="18" fillId="4" borderId="0" xfId="4" applyFont="1" applyFill="1" applyBorder="1" applyAlignment="1" applyProtection="1">
      <alignment horizontal="center" vertical="top"/>
    </xf>
    <xf numFmtId="0" fontId="9" fillId="4" borderId="0" xfId="0" applyFont="1" applyFill="1" applyBorder="1" applyAlignment="1" applyProtection="1">
      <alignment vertical="top"/>
    </xf>
    <xf numFmtId="0" fontId="18" fillId="4" borderId="5" xfId="4" applyFont="1" applyFill="1" applyBorder="1" applyAlignment="1" applyProtection="1">
      <alignment horizontal="center" vertical="top"/>
      <protection locked="0"/>
    </xf>
    <xf numFmtId="167" fontId="19" fillId="4" borderId="9" xfId="0" applyNumberFormat="1" applyFont="1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 vertical="top"/>
      <protection locked="0"/>
    </xf>
    <xf numFmtId="3" fontId="19" fillId="4" borderId="9" xfId="0" applyNumberFormat="1" applyFont="1" applyFill="1" applyBorder="1" applyAlignment="1" applyProtection="1">
      <alignment horizontal="center" vertical="center"/>
    </xf>
    <xf numFmtId="2" fontId="0" fillId="4" borderId="0" xfId="0" applyNumberFormat="1" applyFill="1" applyBorder="1" applyAlignment="1" applyProtection="1">
      <alignment horizontal="center" vertical="top"/>
    </xf>
    <xf numFmtId="0" fontId="0" fillId="4" borderId="0" xfId="0" applyFill="1" applyBorder="1" applyAlignment="1" applyProtection="1">
      <alignment horizontal="left" vertical="top"/>
    </xf>
    <xf numFmtId="0" fontId="0" fillId="4" borderId="0" xfId="0" applyFill="1" applyBorder="1" applyAlignment="1" applyProtection="1">
      <alignment vertical="top"/>
    </xf>
    <xf numFmtId="0" fontId="0" fillId="4" borderId="5" xfId="0" applyFill="1" applyBorder="1" applyAlignment="1" applyProtection="1">
      <alignment horizontal="left" vertical="top"/>
      <protection locked="0"/>
    </xf>
    <xf numFmtId="168" fontId="19" fillId="4" borderId="9" xfId="0" applyNumberFormat="1" applyFont="1" applyFill="1" applyBorder="1" applyAlignment="1" applyProtection="1">
      <alignment horizontal="center" vertical="center"/>
    </xf>
    <xf numFmtId="2" fontId="0" fillId="4" borderId="0" xfId="0" applyNumberFormat="1" applyFill="1" applyBorder="1" applyAlignment="1" applyProtection="1">
      <alignment horizontal="center" vertical="center"/>
    </xf>
    <xf numFmtId="2" fontId="19" fillId="4" borderId="9" xfId="0" applyNumberFormat="1" applyFont="1" applyFill="1" applyBorder="1" applyAlignment="1" applyProtection="1">
      <alignment horizontal="center" vertical="center"/>
    </xf>
    <xf numFmtId="164" fontId="0" fillId="4" borderId="7" xfId="0" applyNumberFormat="1" applyFill="1" applyBorder="1" applyAlignment="1" applyProtection="1">
      <alignment vertical="top"/>
      <protection locked="0"/>
    </xf>
    <xf numFmtId="0" fontId="51" fillId="4" borderId="7" xfId="0" applyFont="1" applyFill="1" applyBorder="1" applyAlignment="1" applyProtection="1">
      <alignment vertical="top"/>
      <protection locked="0"/>
    </xf>
    <xf numFmtId="0" fontId="0" fillId="4" borderId="8" xfId="0" applyFill="1" applyBorder="1" applyAlignment="1" applyProtection="1">
      <alignment vertical="top"/>
      <protection locked="0"/>
    </xf>
    <xf numFmtId="0" fontId="57" fillId="4" borderId="4" xfId="0" applyFont="1" applyFill="1" applyBorder="1" applyProtection="1">
      <protection locked="0"/>
    </xf>
    <xf numFmtId="0" fontId="9" fillId="4" borderId="0" xfId="0" applyFont="1" applyFill="1" applyBorder="1" applyProtection="1">
      <protection locked="0"/>
    </xf>
    <xf numFmtId="164" fontId="0" fillId="4" borderId="21" xfId="0" applyNumberFormat="1" applyFill="1" applyBorder="1" applyAlignment="1">
      <alignment horizontal="center"/>
    </xf>
    <xf numFmtId="170" fontId="19" fillId="4" borderId="9" xfId="0" applyNumberFormat="1" applyFont="1" applyFill="1" applyBorder="1" applyAlignment="1" applyProtection="1">
      <alignment horizontal="center"/>
    </xf>
    <xf numFmtId="49" fontId="42" fillId="2" borderId="0" xfId="0" applyNumberFormat="1" applyFont="1" applyFill="1" applyBorder="1"/>
    <xf numFmtId="49" fontId="42" fillId="2" borderId="4" xfId="0" applyNumberFormat="1" applyFont="1" applyFill="1" applyBorder="1"/>
    <xf numFmtId="0" fontId="11" fillId="2" borderId="4" xfId="0" applyFont="1" applyFill="1" applyBorder="1" applyAlignment="1">
      <alignment horizontal="left" vertical="center"/>
    </xf>
    <xf numFmtId="164" fontId="19" fillId="4" borderId="9" xfId="0" applyNumberFormat="1" applyFont="1" applyFill="1" applyBorder="1" applyAlignment="1" applyProtection="1">
      <alignment horizontal="center"/>
    </xf>
    <xf numFmtId="0" fontId="0" fillId="4" borderId="0" xfId="0" applyFill="1" applyBorder="1" applyAlignment="1" applyProtection="1">
      <protection locked="0"/>
    </xf>
    <xf numFmtId="0" fontId="0" fillId="4" borderId="6" xfId="0" applyFill="1" applyBorder="1" applyAlignment="1" applyProtection="1">
      <protection locked="0"/>
    </xf>
    <xf numFmtId="2" fontId="0" fillId="4" borderId="7" xfId="0" applyNumberFormat="1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left"/>
    </xf>
    <xf numFmtId="0" fontId="0" fillId="4" borderId="0" xfId="0" applyFont="1" applyFill="1" applyBorder="1" applyAlignment="1" applyProtection="1">
      <protection locked="0"/>
    </xf>
    <xf numFmtId="2" fontId="0" fillId="5" borderId="9" xfId="1" applyNumberFormat="1" applyFont="1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vertical="center"/>
    </xf>
    <xf numFmtId="0" fontId="53" fillId="0" borderId="0" xfId="6" applyFont="1"/>
    <xf numFmtId="2" fontId="0" fillId="5" borderId="9" xfId="0" applyNumberFormat="1" applyFill="1" applyBorder="1" applyAlignment="1" applyProtection="1">
      <alignment horizontal="center"/>
      <protection locked="0"/>
    </xf>
    <xf numFmtId="164" fontId="0" fillId="5" borderId="9" xfId="0" applyNumberFormat="1" applyFill="1" applyBorder="1" applyAlignment="1" applyProtection="1">
      <alignment horizontal="center"/>
      <protection locked="0"/>
    </xf>
    <xf numFmtId="0" fontId="12" fillId="4" borderId="6" xfId="0" applyFont="1" applyFill="1" applyBorder="1" applyAlignment="1" applyProtection="1">
      <alignment vertical="top"/>
      <protection locked="0"/>
    </xf>
    <xf numFmtId="0" fontId="15" fillId="4" borderId="7" xfId="0" applyFont="1" applyFill="1" applyBorder="1" applyAlignment="1" applyProtection="1">
      <alignment vertical="top"/>
      <protection locked="0"/>
    </xf>
    <xf numFmtId="0" fontId="49" fillId="0" borderId="0" xfId="0" applyFont="1" applyAlignment="1">
      <alignment vertical="top"/>
    </xf>
    <xf numFmtId="0" fontId="12" fillId="4" borderId="5" xfId="0" applyFont="1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vertical="center"/>
    </xf>
    <xf numFmtId="0" fontId="28" fillId="7" borderId="1" xfId="0" applyFont="1" applyFill="1" applyBorder="1" applyAlignment="1">
      <alignment vertical="center"/>
    </xf>
    <xf numFmtId="0" fontId="0" fillId="7" borderId="2" xfId="0" applyFill="1" applyBorder="1"/>
    <xf numFmtId="0" fontId="0" fillId="7" borderId="3" xfId="0" applyFill="1" applyBorder="1"/>
    <xf numFmtId="0" fontId="9" fillId="7" borderId="4" xfId="0" applyFont="1" applyFill="1" applyBorder="1"/>
    <xf numFmtId="0" fontId="12" fillId="7" borderId="9" xfId="0" applyFont="1" applyFill="1" applyBorder="1" applyAlignment="1">
      <alignment horizontal="center" vertical="center"/>
    </xf>
    <xf numFmtId="0" fontId="9" fillId="7" borderId="0" xfId="0" applyFont="1" applyFill="1" applyBorder="1"/>
    <xf numFmtId="164" fontId="9" fillId="7" borderId="10" xfId="0" applyNumberFormat="1" applyFont="1" applyFill="1" applyBorder="1" applyAlignment="1">
      <alignment horizontal="center"/>
    </xf>
    <xf numFmtId="0" fontId="29" fillId="7" borderId="4" xfId="0" applyFont="1" applyFill="1" applyBorder="1"/>
    <xf numFmtId="0" fontId="29" fillId="7" borderId="6" xfId="0" applyFont="1" applyFill="1" applyBorder="1" applyAlignment="1">
      <alignment vertical="top"/>
    </xf>
    <xf numFmtId="0" fontId="0" fillId="7" borderId="7" xfId="0" applyFill="1" applyBorder="1"/>
    <xf numFmtId="0" fontId="30" fillId="7" borderId="7" xfId="0" applyFont="1" applyFill="1" applyBorder="1"/>
    <xf numFmtId="0" fontId="0" fillId="7" borderId="8" xfId="0" applyFill="1" applyBorder="1"/>
    <xf numFmtId="1" fontId="0" fillId="4" borderId="0" xfId="0" applyNumberFormat="1" applyFill="1" applyBorder="1" applyAlignment="1">
      <alignment horizontal="center"/>
    </xf>
    <xf numFmtId="1" fontId="33" fillId="4" borderId="0" xfId="3" applyNumberFormat="1" applyFont="1" applyFill="1" applyBorder="1" applyAlignment="1">
      <alignment horizontal="center"/>
    </xf>
    <xf numFmtId="1" fontId="31" fillId="3" borderId="0" xfId="0" applyNumberFormat="1" applyFont="1" applyFill="1" applyBorder="1" applyAlignment="1">
      <alignment horizontal="center"/>
    </xf>
    <xf numFmtId="1" fontId="0" fillId="4" borderId="21" xfId="0" applyNumberFormat="1" applyFill="1" applyBorder="1" applyAlignment="1">
      <alignment horizontal="center"/>
    </xf>
    <xf numFmtId="171" fontId="19" fillId="4" borderId="9" xfId="0" applyNumberFormat="1" applyFont="1" applyFill="1" applyBorder="1" applyAlignment="1" applyProtection="1">
      <alignment horizontal="center"/>
    </xf>
    <xf numFmtId="166" fontId="19" fillId="4" borderId="9" xfId="0" applyNumberFormat="1" applyFont="1" applyFill="1" applyBorder="1" applyAlignment="1" applyProtection="1">
      <alignment horizontal="center"/>
    </xf>
    <xf numFmtId="168" fontId="6" fillId="6" borderId="25" xfId="4" applyNumberFormat="1" applyFont="1" applyFill="1" applyBorder="1" applyAlignment="1" applyProtection="1">
      <alignment horizontal="center" vertical="center"/>
    </xf>
    <xf numFmtId="168" fontId="0" fillId="5" borderId="9" xfId="0" applyNumberFormat="1" applyFill="1" applyBorder="1" applyAlignment="1" applyProtection="1">
      <alignment horizontal="center"/>
      <protection locked="0"/>
    </xf>
    <xf numFmtId="0" fontId="18" fillId="4" borderId="5" xfId="4" applyFont="1" applyFill="1" applyBorder="1" applyAlignment="1" applyProtection="1">
      <alignment horizontal="center" vertical="center"/>
      <protection locked="0"/>
    </xf>
    <xf numFmtId="0" fontId="18" fillId="4" borderId="0" xfId="4" applyFont="1" applyFill="1" applyBorder="1" applyAlignment="1" applyProtection="1">
      <alignment horizontal="center" vertical="center"/>
    </xf>
    <xf numFmtId="168" fontId="10" fillId="6" borderId="25" xfId="0" applyNumberFormat="1" applyFont="1" applyFill="1" applyBorder="1" applyAlignment="1" applyProtection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53" fillId="0" borderId="0" xfId="6" applyFont="1" applyAlignment="1"/>
    <xf numFmtId="0" fontId="30" fillId="0" borderId="0" xfId="0" applyFont="1" applyFill="1"/>
    <xf numFmtId="0" fontId="0" fillId="0" borderId="0" xfId="0" applyFill="1"/>
    <xf numFmtId="0" fontId="53" fillId="0" borderId="0" xfId="6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20" fillId="3" borderId="0" xfId="0" applyFont="1" applyFill="1" applyAlignment="1">
      <alignment horizontal="center" vertical="center" textRotation="90"/>
    </xf>
    <xf numFmtId="49" fontId="19" fillId="4" borderId="1" xfId="0" applyNumberFormat="1" applyFont="1" applyFill="1" applyBorder="1" applyAlignment="1">
      <alignment horizontal="center"/>
    </xf>
    <xf numFmtId="49" fontId="19" fillId="4" borderId="2" xfId="0" applyNumberFormat="1" applyFont="1" applyFill="1" applyBorder="1" applyAlignment="1">
      <alignment horizontal="center"/>
    </xf>
    <xf numFmtId="49" fontId="19" fillId="4" borderId="3" xfId="0" applyNumberFormat="1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19" fillId="4" borderId="18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3" fillId="0" borderId="0" xfId="2" applyFill="1" applyBorder="1" applyAlignment="1" applyProtection="1">
      <alignment horizontal="center"/>
    </xf>
    <xf numFmtId="0" fontId="7" fillId="0" borderId="0" xfId="0" applyFont="1" applyAlignment="1">
      <alignment horizontal="left"/>
    </xf>
    <xf numFmtId="0" fontId="3" fillId="0" borderId="0" xfId="2" applyFill="1" applyBorder="1" applyAlignment="1" applyProtection="1">
      <alignment horizontal="left"/>
    </xf>
    <xf numFmtId="0" fontId="17" fillId="3" borderId="0" xfId="0" applyFont="1" applyFill="1" applyBorder="1" applyAlignment="1">
      <alignment horizontal="center" vertical="center" textRotation="90"/>
    </xf>
    <xf numFmtId="0" fontId="19" fillId="4" borderId="19" xfId="0" applyFont="1" applyFill="1" applyBorder="1" applyAlignment="1">
      <alignment horizontal="center"/>
    </xf>
    <xf numFmtId="0" fontId="19" fillId="4" borderId="2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6" borderId="4" xfId="2" applyFill="1" applyBorder="1" applyAlignment="1" applyProtection="1">
      <alignment horizontal="left"/>
    </xf>
    <xf numFmtId="0" fontId="3" fillId="6" borderId="0" xfId="2" applyFill="1" applyBorder="1" applyAlignment="1" applyProtection="1">
      <alignment horizontal="left"/>
    </xf>
    <xf numFmtId="164" fontId="6" fillId="6" borderId="19" xfId="0" applyNumberFormat="1" applyFont="1" applyFill="1" applyBorder="1" applyAlignment="1">
      <alignment horizontal="center"/>
    </xf>
    <xf numFmtId="164" fontId="6" fillId="6" borderId="20" xfId="0" applyNumberFormat="1" applyFont="1" applyFill="1" applyBorder="1" applyAlignment="1">
      <alignment horizontal="center"/>
    </xf>
    <xf numFmtId="0" fontId="3" fillId="2" borderId="0" xfId="2" applyFill="1" applyBorder="1" applyAlignment="1" applyProtection="1">
      <alignment horizontal="left"/>
    </xf>
    <xf numFmtId="0" fontId="3" fillId="2" borderId="5" xfId="2" applyFill="1" applyBorder="1" applyAlignment="1" applyProtection="1">
      <alignment horizontal="left"/>
    </xf>
    <xf numFmtId="0" fontId="3" fillId="2" borderId="4" xfId="2" applyFill="1" applyBorder="1" applyAlignment="1" applyProtection="1">
      <alignment horizontal="center"/>
    </xf>
    <xf numFmtId="0" fontId="3" fillId="2" borderId="0" xfId="2" applyFill="1" applyBorder="1" applyAlignment="1" applyProtection="1">
      <alignment horizontal="center"/>
    </xf>
    <xf numFmtId="0" fontId="3" fillId="2" borderId="4" xfId="2" applyFill="1" applyBorder="1" applyAlignment="1" applyProtection="1"/>
    <xf numFmtId="0" fontId="3" fillId="2" borderId="0" xfId="2" applyFill="1" applyBorder="1" applyAlignment="1" applyProtection="1"/>
    <xf numFmtId="0" fontId="12" fillId="8" borderId="19" xfId="0" applyFont="1" applyFill="1" applyBorder="1" applyAlignment="1" applyProtection="1">
      <alignment horizontal="center" vertical="center"/>
      <protection locked="0"/>
    </xf>
    <xf numFmtId="0" fontId="12" fillId="8" borderId="26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3" fillId="2" borderId="5" xfId="2" applyFill="1" applyBorder="1" applyAlignment="1" applyProtection="1">
      <alignment horizontal="center"/>
    </xf>
  </cellXfs>
  <cellStyles count="7">
    <cellStyle name="Excel Built-in Normal" xfId="3" xr:uid="{00000000-0005-0000-0000-000000000000}"/>
    <cellStyle name="Hyperlink" xfId="2" builtinId="8"/>
    <cellStyle name="Normal" xfId="0" builtinId="0"/>
    <cellStyle name="Normal_3. Flow Rate - Lg Bore" xfId="5" xr:uid="{00000000-0005-0000-0000-000003000000}"/>
    <cellStyle name="Normal_5. Exit Pressure" xfId="6" xr:uid="{00000000-0005-0000-0000-000004000000}"/>
    <cellStyle name="Normal_Sheet2" xfId="4" xr:uid="{00000000-0005-0000-0000-000005000000}"/>
    <cellStyle name="Percent" xfId="1" builtinId="5"/>
  </cellStyles>
  <dxfs count="0"/>
  <tableStyles count="0" defaultTableStyle="TableStyleMedium2" defaultPivotStyle="PivotStyleLight16"/>
  <colors>
    <mruColors>
      <color rgb="FFCCFFFF"/>
      <color rgb="FFFFCC99"/>
      <color rgb="FF1EE50F"/>
      <color rgb="FF2FF20E"/>
      <color rgb="FF48E311"/>
      <color rgb="FF7DC739"/>
      <color rgb="FF96D14F"/>
      <color rgb="FF41D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g"/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104775</xdr:rowOff>
    </xdr:from>
    <xdr:to>
      <xdr:col>10</xdr:col>
      <xdr:colOff>104775</xdr:colOff>
      <xdr:row>6</xdr:row>
      <xdr:rowOff>123825</xdr:rowOff>
    </xdr:to>
    <xdr:pic>
      <xdr:nvPicPr>
        <xdr:cNvPr id="2" name="Picture 2" descr="C:\Users\Harlan\Documents\AccessEngineering\AccessEngineering_2013_logo.jpg">
          <a:extLst>
            <a:ext uri="{FF2B5EF4-FFF2-40B4-BE49-F238E27FC236}">
              <a16:creationId xmlns:a16="http://schemas.microsoft.com/office/drawing/2014/main" id="{4ED58C01-F264-4E4B-B8F0-49CA30AF9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04775"/>
          <a:ext cx="57245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171451</xdr:colOff>
      <xdr:row>95</xdr:row>
      <xdr:rowOff>57150</xdr:rowOff>
    </xdr:from>
    <xdr:to>
      <xdr:col>17</xdr:col>
      <xdr:colOff>247651</xdr:colOff>
      <xdr:row>101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2B07E6-3438-4AFA-851A-FA1C7624E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1" y="19307175"/>
          <a:ext cx="3486150" cy="1381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1009650</xdr:colOff>
      <xdr:row>13</xdr:row>
      <xdr:rowOff>19050</xdr:rowOff>
    </xdr:from>
    <xdr:to>
      <xdr:col>13</xdr:col>
      <xdr:colOff>1695450</xdr:colOff>
      <xdr:row>21</xdr:row>
      <xdr:rowOff>105087</xdr:rowOff>
    </xdr:to>
    <xdr:pic>
      <xdr:nvPicPr>
        <xdr:cNvPr id="2" name="Picture 15" descr="F:\Backup of 2 G Drive\Excel Spreadsheets for Sale\Venturi Meter Calculations\Venturi Meter Diagram.jpg">
          <a:extLst>
            <a:ext uri="{FF2B5EF4-FFF2-40B4-BE49-F238E27FC236}">
              <a16:creationId xmlns:a16="http://schemas.microsoft.com/office/drawing/2014/main" id="{5C1F4A9D-3201-4F6F-822A-3F5A0C646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809875"/>
          <a:ext cx="4343400" cy="1800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838201</xdr:colOff>
      <xdr:row>43</xdr:row>
      <xdr:rowOff>161926</xdr:rowOff>
    </xdr:from>
    <xdr:to>
      <xdr:col>13</xdr:col>
      <xdr:colOff>1133475</xdr:colOff>
      <xdr:row>48</xdr:row>
      <xdr:rowOff>128608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DEFEFC-9E24-4D70-8AF0-257913390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6" y="9591676"/>
          <a:ext cx="3867149" cy="938232"/>
        </a:xfrm>
        <a:prstGeom prst="rect">
          <a:avLst/>
        </a:prstGeom>
      </xdr:spPr>
    </xdr:pic>
    <xdr:clientData/>
  </xdr:twoCellAnchor>
  <xdr:twoCellAnchor editAs="oneCell">
    <xdr:from>
      <xdr:col>9</xdr:col>
      <xdr:colOff>904875</xdr:colOff>
      <xdr:row>25</xdr:row>
      <xdr:rowOff>152400</xdr:rowOff>
    </xdr:from>
    <xdr:to>
      <xdr:col>13</xdr:col>
      <xdr:colOff>1533525</xdr:colOff>
      <xdr:row>29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5639EE-03AE-4885-8D53-B0B25C93E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5619750"/>
          <a:ext cx="4200525" cy="742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1009650</xdr:colOff>
      <xdr:row>13</xdr:row>
      <xdr:rowOff>19050</xdr:rowOff>
    </xdr:from>
    <xdr:to>
      <xdr:col>13</xdr:col>
      <xdr:colOff>1076325</xdr:colOff>
      <xdr:row>22</xdr:row>
      <xdr:rowOff>312</xdr:rowOff>
    </xdr:to>
    <xdr:pic>
      <xdr:nvPicPr>
        <xdr:cNvPr id="5" name="Picture 15" descr="F:\Backup of 2 G Drive\Excel Spreadsheets for Sale\Venturi Meter Calculations\Venturi Meter Diagram.jpg">
          <a:extLst>
            <a:ext uri="{FF2B5EF4-FFF2-40B4-BE49-F238E27FC236}">
              <a16:creationId xmlns:a16="http://schemas.microsoft.com/office/drawing/2014/main" id="{5F4A7355-CE8A-411C-B00D-CBD33AEAE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2705100"/>
          <a:ext cx="4343400" cy="2010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800101</xdr:colOff>
      <xdr:row>44</xdr:row>
      <xdr:rowOff>28576</xdr:rowOff>
    </xdr:from>
    <xdr:to>
      <xdr:col>13</xdr:col>
      <xdr:colOff>542925</xdr:colOff>
      <xdr:row>48</xdr:row>
      <xdr:rowOff>71458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CA1050-33CE-4DF3-94EB-59CE2979D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1" y="9610726"/>
          <a:ext cx="3867149" cy="938232"/>
        </a:xfrm>
        <a:prstGeom prst="rect">
          <a:avLst/>
        </a:prstGeom>
      </xdr:spPr>
    </xdr:pic>
    <xdr:clientData/>
  </xdr:twoCellAnchor>
  <xdr:twoCellAnchor editAs="oneCell">
    <xdr:from>
      <xdr:col>9</xdr:col>
      <xdr:colOff>561975</xdr:colOff>
      <xdr:row>25</xdr:row>
      <xdr:rowOff>152400</xdr:rowOff>
    </xdr:from>
    <xdr:to>
      <xdr:col>13</xdr:col>
      <xdr:colOff>819150</xdr:colOff>
      <xdr:row>28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2A4655D-C031-4ECD-A335-CF2A05F1C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5705475"/>
          <a:ext cx="438150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1009650</xdr:colOff>
      <xdr:row>13</xdr:row>
      <xdr:rowOff>19050</xdr:rowOff>
    </xdr:from>
    <xdr:to>
      <xdr:col>13</xdr:col>
      <xdr:colOff>333375</xdr:colOff>
      <xdr:row>22</xdr:row>
      <xdr:rowOff>47937</xdr:rowOff>
    </xdr:to>
    <xdr:pic>
      <xdr:nvPicPr>
        <xdr:cNvPr id="2" name="Picture 15" descr="F:\Backup of 2 G Drive\Excel Spreadsheets for Sale\Venturi Meter Calculations\Venturi Meter Diagram.jpg">
          <a:extLst>
            <a:ext uri="{FF2B5EF4-FFF2-40B4-BE49-F238E27FC236}">
              <a16:creationId xmlns:a16="http://schemas.microsoft.com/office/drawing/2014/main" id="{CBEDA541-0CC6-437E-BADD-156CA391B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2962275"/>
          <a:ext cx="4343400" cy="2010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828676</xdr:colOff>
      <xdr:row>44</xdr:row>
      <xdr:rowOff>47626</xdr:rowOff>
    </xdr:from>
    <xdr:to>
      <xdr:col>12</xdr:col>
      <xdr:colOff>1685925</xdr:colOff>
      <xdr:row>48</xdr:row>
      <xdr:rowOff>138133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8C4D25-80CF-4DFD-848C-DBABB2C08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6" y="9677401"/>
          <a:ext cx="3867149" cy="938232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26</xdr:row>
      <xdr:rowOff>28575</xdr:rowOff>
    </xdr:from>
    <xdr:to>
      <xdr:col>13</xdr:col>
      <xdr:colOff>85725</xdr:colOff>
      <xdr:row>29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14CF28-8C46-46C9-B342-56EA4982B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5" y="5753100"/>
          <a:ext cx="438150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838200</xdr:colOff>
      <xdr:row>12</xdr:row>
      <xdr:rowOff>76200</xdr:rowOff>
    </xdr:from>
    <xdr:to>
      <xdr:col>13</xdr:col>
      <xdr:colOff>1362075</xdr:colOff>
      <xdr:row>21</xdr:row>
      <xdr:rowOff>95562</xdr:rowOff>
    </xdr:to>
    <xdr:pic>
      <xdr:nvPicPr>
        <xdr:cNvPr id="2" name="Picture 15" descr="F:\Backup of 2 G Drive\Excel Spreadsheets for Sale\Venturi Meter Calculations\Venturi Meter Diagram.jpg">
          <a:extLst>
            <a:ext uri="{FF2B5EF4-FFF2-40B4-BE49-F238E27FC236}">
              <a16:creationId xmlns:a16="http://schemas.microsoft.com/office/drawing/2014/main" id="{C08207A6-296C-40C1-A4EC-F42C52113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2628900"/>
          <a:ext cx="4343400" cy="2010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828676</xdr:colOff>
      <xdr:row>44</xdr:row>
      <xdr:rowOff>47626</xdr:rowOff>
    </xdr:from>
    <xdr:to>
      <xdr:col>13</xdr:col>
      <xdr:colOff>876300</xdr:colOff>
      <xdr:row>49</xdr:row>
      <xdr:rowOff>23833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3EE82E-0AB8-4F4F-ACD4-F1B496347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1" y="9515476"/>
          <a:ext cx="3867149" cy="93823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161925</xdr:rowOff>
    </xdr:from>
    <xdr:to>
      <xdr:col>13</xdr:col>
      <xdr:colOff>1009650</xdr:colOff>
      <xdr:row>29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7E3E89-4DF4-4FA1-BB8E-349B2EAF7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5" y="5410200"/>
          <a:ext cx="4181475" cy="7334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819150</xdr:colOff>
      <xdr:row>11</xdr:row>
      <xdr:rowOff>238125</xdr:rowOff>
    </xdr:from>
    <xdr:to>
      <xdr:col>13</xdr:col>
      <xdr:colOff>1047750</xdr:colOff>
      <xdr:row>20</xdr:row>
      <xdr:rowOff>152712</xdr:rowOff>
    </xdr:to>
    <xdr:pic>
      <xdr:nvPicPr>
        <xdr:cNvPr id="2" name="Picture 15" descr="F:\Backup of 2 G Drive\Excel Spreadsheets for Sale\Venturi Meter Calculations\Venturi Meter Diagram.jpg">
          <a:extLst>
            <a:ext uri="{FF2B5EF4-FFF2-40B4-BE49-F238E27FC236}">
              <a16:creationId xmlns:a16="http://schemas.microsoft.com/office/drawing/2014/main" id="{0FAD3F20-66C5-442F-9B75-1B860B6FD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2676525"/>
          <a:ext cx="4343400" cy="2010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819151</xdr:colOff>
      <xdr:row>43</xdr:row>
      <xdr:rowOff>228601</xdr:rowOff>
    </xdr:from>
    <xdr:to>
      <xdr:col>13</xdr:col>
      <xdr:colOff>571500</xdr:colOff>
      <xdr:row>48</xdr:row>
      <xdr:rowOff>128608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AF4B1-C5AB-4EFC-A80E-0C61C06A3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1" y="9448801"/>
          <a:ext cx="3867149" cy="938232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25</xdr:row>
      <xdr:rowOff>161925</xdr:rowOff>
    </xdr:from>
    <xdr:to>
      <xdr:col>13</xdr:col>
      <xdr:colOff>838200</xdr:colOff>
      <xdr:row>28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0E272D-D97D-4291-9234-8BD1AA5B8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5600700"/>
          <a:ext cx="438150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990600</xdr:colOff>
      <xdr:row>12</xdr:row>
      <xdr:rowOff>57150</xdr:rowOff>
    </xdr:from>
    <xdr:to>
      <xdr:col>13</xdr:col>
      <xdr:colOff>771525</xdr:colOff>
      <xdr:row>22</xdr:row>
      <xdr:rowOff>312</xdr:rowOff>
    </xdr:to>
    <xdr:pic>
      <xdr:nvPicPr>
        <xdr:cNvPr id="2" name="Picture 15" descr="F:\Backup of 2 G Drive\Excel Spreadsheets for Sale\Venturi Meter Calculations\Venturi Meter Diagram.jpg">
          <a:extLst>
            <a:ext uri="{FF2B5EF4-FFF2-40B4-BE49-F238E27FC236}">
              <a16:creationId xmlns:a16="http://schemas.microsoft.com/office/drawing/2014/main" id="{427FDFF9-5915-49A1-9C8A-99EFA30F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5325" y="2667000"/>
          <a:ext cx="4343400" cy="2010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57151</xdr:colOff>
      <xdr:row>44</xdr:row>
      <xdr:rowOff>19051</xdr:rowOff>
    </xdr:from>
    <xdr:to>
      <xdr:col>13</xdr:col>
      <xdr:colOff>361950</xdr:colOff>
      <xdr:row>49</xdr:row>
      <xdr:rowOff>4783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C53E78-E5CB-4F99-8C32-A3751CCDE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676" y="9391651"/>
          <a:ext cx="3867149" cy="938232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428625</xdr:colOff>
      <xdr:row>25</xdr:row>
      <xdr:rowOff>180975</xdr:rowOff>
    </xdr:from>
    <xdr:to>
      <xdr:col>13</xdr:col>
      <xdr:colOff>247650</xdr:colOff>
      <xdr:row>29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A4BAD0-D3B9-4257-A919-67632226F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025" y="5457825"/>
          <a:ext cx="438150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ccessengineeringlibrary.com/browse/perrys-chemical-engineers-handbook-eighth-edition/p200139d89972_420001" TargetMode="External"/><Relationship Id="rId3" Type="http://schemas.openxmlformats.org/officeDocument/2006/relationships/hyperlink" Target="http://www.accessengineeringlibrary.com/browse/handbook-of-chemical-engineering-calculations-fourth-edition/c9780071768047ch01" TargetMode="External"/><Relationship Id="rId7" Type="http://schemas.openxmlformats.org/officeDocument/2006/relationships/hyperlink" Target="http://www.accessengineeringlibrary.com/browse/perrys-chemical-engineers-handbook-9th-edition/c9780071834087ch02lev1sec15?s.num=1&amp;q=Vapor+viscosity+of+organic+and+inorganic&amp;book=Perry%27s+Chemical+Engineers%27+Handbook%2C+9th+Edition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accessengineeringlibrary.com/browse/piping-handbook-seventh-edition/p2000b0d5997E_83001?utm_source=VenturiMGF%20SI&amp;utm_medium=Excel&amp;utm_content=PipingHB%20TE7.3&amp;utm_campaign=GasProperties" TargetMode="External"/><Relationship Id="rId1" Type="http://schemas.openxmlformats.org/officeDocument/2006/relationships/hyperlink" Target="http://accessengineeringlibrary.com/browse/perrys-chemical-engineers-handbook-eighth-edition/p200139d89972_420001" TargetMode="External"/><Relationship Id="rId6" Type="http://schemas.openxmlformats.org/officeDocument/2006/relationships/hyperlink" Target="http://accessengineeringlibrary.com/browse/perrys-chemical-engineers-handbook-eighth-edition/p200139d89822_421001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accessengineeringlibrary.com/browse/perrys-chemical-engineers-handbook-eighth-edition/p200139d89972_420001" TargetMode="External"/><Relationship Id="rId10" Type="http://schemas.openxmlformats.org/officeDocument/2006/relationships/hyperlink" Target="http://www.accessengineeringlibrary.com/browse/perrys-chemical-engineers-handbook-9th-edition/c9780071834087ch02lev1sec13?q=Critical+Constants&amp;book=Perry%27s+Chemical+Engineers%27+Handbook%2C+9th+Edition" TargetMode="External"/><Relationship Id="rId4" Type="http://schemas.openxmlformats.org/officeDocument/2006/relationships/hyperlink" Target="http://www.accessengineeringlibrary.com/browse/handbook-of-chemical-engineering-calculations-fourth-edition/c9780071768047ch01?utm_source=VenturiMGF%20SI&amp;utm_medium=Excel&amp;utm_content=HBChemEngCal%20sec1.4&amp;utm_campaign=GasProperties" TargetMode="External"/><Relationship Id="rId9" Type="http://schemas.openxmlformats.org/officeDocument/2006/relationships/hyperlink" Target="http://accessengineeringlibrary.com/browse/perrys-chemical-engineers-handbook-eighth-edition/p200139d89822_42100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accessengineeringlibrary.com/browse/piping-handbook-seventh-edition/p2000b0d5997E_13001" TargetMode="External"/><Relationship Id="rId7" Type="http://schemas.openxmlformats.org/officeDocument/2006/relationships/hyperlink" Target="http://www.accessengineeringlibrary.com/browse/perrys-chemical-engineers-handbook-9th-edition/c9780071834087ch10lev1sec01" TargetMode="External"/><Relationship Id="rId2" Type="http://schemas.openxmlformats.org/officeDocument/2006/relationships/hyperlink" Target="http://accessengineeringlibrary.com/browse/piping-handbook-seventh-edition/p2000b0d5997E_13001" TargetMode="External"/><Relationship Id="rId1" Type="http://schemas.openxmlformats.org/officeDocument/2006/relationships/hyperlink" Target="http://accessengineeringlibrary.com/browse/piping-handbook-seventh-edition/p2000b0d5997E_13001?utm_source=Venturi%20SI&amp;utm_medium=Excel&amp;utm_content=PipingHB%20TE2.1&amp;utm_campaign=FR%20ISO5167" TargetMode="External"/><Relationship Id="rId6" Type="http://schemas.openxmlformats.org/officeDocument/2006/relationships/hyperlink" Target="http://www.accessengineeringlibrary.com/browse/perrys-chemical-engineers-handbook-eighth-edition/p200139d899710_6001?utm_source=VenturiMGF%20US&amp;utm_medium=Excel&amp;utm_content=Perrys%2010.1.12&amp;utm_campaign=FR%20ISO5167" TargetMode="External"/><Relationship Id="rId5" Type="http://schemas.openxmlformats.org/officeDocument/2006/relationships/hyperlink" Target="http://www.accessengineeringlibrary.com/browse/perrys-chemical-engineers-handbook-9th-edition/c9780071834087ch08lev1sec08" TargetMode="External"/><Relationship Id="rId4" Type="http://schemas.openxmlformats.org/officeDocument/2006/relationships/hyperlink" Target="http://accessengineeringlibrary.com/browse/piping-handbook-seventh-edition/p2000b0d5997E_13001?utm_source=VenturiMGF%20SI&amp;utm_medium=Excel&amp;utm_content=PipingHB%20TE2.1&amp;utm_campaign=FR%20ISO5167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://accessengineeringlibrary.com/browse/piping-handbook-seventh-edition/p2000b0d5997E_13001" TargetMode="External"/><Relationship Id="rId7" Type="http://schemas.openxmlformats.org/officeDocument/2006/relationships/hyperlink" Target="http://www.accessengineeringlibrary.com/browse/perrys-chemical-engineers-handbook-9th-edition/c9780071834087ch10lev1sec01" TargetMode="External"/><Relationship Id="rId2" Type="http://schemas.openxmlformats.org/officeDocument/2006/relationships/hyperlink" Target="http://accessengineeringlibrary.com/browse/piping-handbook-seventh-edition/p2000b0d5997E_13001" TargetMode="External"/><Relationship Id="rId1" Type="http://schemas.openxmlformats.org/officeDocument/2006/relationships/hyperlink" Target="http://accessengineeringlibrary.com/browse/piping-handbook-seventh-edition/p2000b0d5997E_13001?utm_source=Venturi%20SI&amp;utm_medium=Excel&amp;utm_content=PipingHB%20TE2.1&amp;utm_campaign=FR%20ISO5167" TargetMode="External"/><Relationship Id="rId6" Type="http://schemas.openxmlformats.org/officeDocument/2006/relationships/hyperlink" Target="http://www.accessengineeringlibrary.com/browse/perrys-chemical-engineers-handbook-eighth-edition/p200139d899710_6001?utm_source=VenturiMGF%20US&amp;utm_medium=Excel&amp;utm_content=Perrys%2010.1.12&amp;utm_campaign=FR%20ISO5167" TargetMode="External"/><Relationship Id="rId5" Type="http://schemas.openxmlformats.org/officeDocument/2006/relationships/hyperlink" Target="http://www.accessengineeringlibrary.com/browse/perrys-chemical-engineers-handbook-9th-edition/c9780071834087ch08lev1sec08" TargetMode="External"/><Relationship Id="rId4" Type="http://schemas.openxmlformats.org/officeDocument/2006/relationships/hyperlink" Target="http://accessengineeringlibrary.com/browse/piping-handbook-seventh-edition/p2000b0d5997E_13001?utm_source=VenturiMGF%20SI&amp;utm_medium=Excel&amp;utm_content=PipingHB%20TE2.1&amp;utm_campaign=ThroatDiff%20ISO516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accessengineeringlibrary.com/browse/piping-handbook-seventh-edition/p2000b0d5997E_13001" TargetMode="External"/><Relationship Id="rId7" Type="http://schemas.openxmlformats.org/officeDocument/2006/relationships/hyperlink" Target="http://www.accessengineeringlibrary.com/browse/perrys-chemical-engineers-handbook-9th-edition/c9780071834087ch10lev1sec01" TargetMode="External"/><Relationship Id="rId2" Type="http://schemas.openxmlformats.org/officeDocument/2006/relationships/hyperlink" Target="http://accessengineeringlibrary.com/browse/piping-handbook-seventh-edition/p2000b0d5997E_13001" TargetMode="External"/><Relationship Id="rId1" Type="http://schemas.openxmlformats.org/officeDocument/2006/relationships/hyperlink" Target="http://accessengineeringlibrary.com/browse/piping-handbook-seventh-edition/p2000b0d5997E_13001?utm_source=Venturi%20SI&amp;utm_medium=Excel&amp;utm_content=PipingHB%20TE2.1&amp;utm_campaign=FR%20ISO5167" TargetMode="External"/><Relationship Id="rId6" Type="http://schemas.openxmlformats.org/officeDocument/2006/relationships/hyperlink" Target="http://www.accessengineeringlibrary.com/browse/perrys-chemical-engineers-handbook-eighth-edition/p200139d899710_6001?utm_source=VenturiMGF%20US&amp;utm_medium=Excel&amp;utm_content=Perrys%2010.1.12&amp;utm_campaign=FR%20ISO5167" TargetMode="External"/><Relationship Id="rId5" Type="http://schemas.openxmlformats.org/officeDocument/2006/relationships/hyperlink" Target="http://www.accessengineeringlibrary.com/browse/perrys-chemical-engineers-handbook-9th-edition/c9780071834087ch08lev1sec08" TargetMode="External"/><Relationship Id="rId4" Type="http://schemas.openxmlformats.org/officeDocument/2006/relationships/hyperlink" Target="http://accessengineeringlibrary.com/browse/piping-handbook-seventh-edition/p2000b0d5997E_13001?utm_source=VenturiMGF%20SI&amp;utm_medium=Excel&amp;utm_content=PipingHB%20TE2.1&amp;utm_campaign=PressureDiff%20ISO5167" TargetMode="External"/><Relationship Id="rId9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http://accessengineeringlibrary.com/browse/piping-handbook-seventh-edition/p2000b0d5997E_13001" TargetMode="External"/><Relationship Id="rId7" Type="http://schemas.openxmlformats.org/officeDocument/2006/relationships/hyperlink" Target="http://www.accessengineeringlibrary.com/browse/perrys-chemical-engineers-handbook-9th-edition/c9780071834087ch10lev1sec01" TargetMode="External"/><Relationship Id="rId2" Type="http://schemas.openxmlformats.org/officeDocument/2006/relationships/hyperlink" Target="http://accessengineeringlibrary.com/browse/piping-handbook-seventh-edition/p2000b0d5997E_13001" TargetMode="External"/><Relationship Id="rId1" Type="http://schemas.openxmlformats.org/officeDocument/2006/relationships/hyperlink" Target="http://accessengineeringlibrary.com/browse/piping-handbook-seventh-edition/p2000b0d5997E_13001?utm_source=Venturi%20SI&amp;utm_medium=Excel&amp;utm_content=PipingHB%20TE2.1&amp;utm_campaign=FR%20ISO5167" TargetMode="External"/><Relationship Id="rId6" Type="http://schemas.openxmlformats.org/officeDocument/2006/relationships/hyperlink" Target="http://www.accessengineeringlibrary.com/browse/perrys-chemical-engineers-handbook-eighth-edition/p200139d899710_6001?utm_source=VenturiMGF%20US&amp;utm_medium=Excel&amp;utm_content=Perrys%2010.1.12&amp;utm_campaign=FR%20ISO5167" TargetMode="External"/><Relationship Id="rId5" Type="http://schemas.openxmlformats.org/officeDocument/2006/relationships/hyperlink" Target="http://www.accessengineeringlibrary.com/browse/perrys-chemical-engineers-handbook-9th-edition/c9780071834087ch08lev1sec08" TargetMode="External"/><Relationship Id="rId4" Type="http://schemas.openxmlformats.org/officeDocument/2006/relationships/hyperlink" Target="http://accessengineeringlibrary.com/browse/piping-handbook-seventh-edition/p2000b0d5997E_13001?utm_source=VenturiMGF%20SI&amp;utm_medium=Excel&amp;utm_content=PipingHB%20TE2.1&amp;utm_campaign=FRSpec%20ISO516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://accessengineeringlibrary.com/browse/piping-handbook-seventh-edition/p2000b0d5997E_13001" TargetMode="External"/><Relationship Id="rId7" Type="http://schemas.openxmlformats.org/officeDocument/2006/relationships/hyperlink" Target="http://www.accessengineeringlibrary.com/browse/perrys-chemical-engineers-handbook-9th-edition/c9780071834087ch10lev1sec01" TargetMode="External"/><Relationship Id="rId2" Type="http://schemas.openxmlformats.org/officeDocument/2006/relationships/hyperlink" Target="http://accessengineeringlibrary.com/browse/piping-handbook-seventh-edition/p2000b0d5997E_13001" TargetMode="External"/><Relationship Id="rId1" Type="http://schemas.openxmlformats.org/officeDocument/2006/relationships/hyperlink" Target="http://accessengineeringlibrary.com/browse/piping-handbook-seventh-edition/p2000b0d5997E_13001?utm_source=Venturi%20SI&amp;utm_medium=Excel&amp;utm_content=PipingHB%20TE2.1&amp;utm_campaign=FR%20ISO5167" TargetMode="External"/><Relationship Id="rId6" Type="http://schemas.openxmlformats.org/officeDocument/2006/relationships/hyperlink" Target="http://www.accessengineeringlibrary.com/browse/perrys-chemical-engineers-handbook-eighth-edition/p200139d899710_6001?utm_source=VenturiMGF%20US&amp;utm_medium=Excel&amp;utm_content=Perrys%2010.1.12&amp;utm_campaign=FR%20ISO5167" TargetMode="External"/><Relationship Id="rId5" Type="http://schemas.openxmlformats.org/officeDocument/2006/relationships/hyperlink" Target="http://www.accessengineeringlibrary.com/browse/perrys-chemical-engineers-handbook-9th-edition/c9780071834087ch08lev1sec08" TargetMode="External"/><Relationship Id="rId4" Type="http://schemas.openxmlformats.org/officeDocument/2006/relationships/hyperlink" Target="http://accessengineeringlibrary.com/browse/piping-handbook-seventh-edition/p2000b0d5997E_13001?utm_source=VenturiMGF%20SI&amp;utm_medium=Excel&amp;utm_content=PipingHB%20TE2.1&amp;utm_campaign=ThroatDiaSpec%20ISO5167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://accessengineeringlibrary.com/browse/piping-handbook-seventh-edition/p2000b0d5997E_13001" TargetMode="External"/><Relationship Id="rId7" Type="http://schemas.openxmlformats.org/officeDocument/2006/relationships/hyperlink" Target="http://www.accessengineeringlibrary.com/browse/perrys-chemical-engineers-handbook-9th-edition/c9780071834087ch10lev1sec01" TargetMode="External"/><Relationship Id="rId2" Type="http://schemas.openxmlformats.org/officeDocument/2006/relationships/hyperlink" Target="http://accessengineeringlibrary.com/browse/piping-handbook-seventh-edition/p2000b0d5997E_13001" TargetMode="External"/><Relationship Id="rId1" Type="http://schemas.openxmlformats.org/officeDocument/2006/relationships/hyperlink" Target="http://accessengineeringlibrary.com/browse/piping-handbook-seventh-edition/p2000b0d5997E_13001?utm_source=Venturi%20SI&amp;utm_medium=Excel&amp;utm_content=PipingHB%20TE2.1&amp;utm_campaign=FR%20ISO5167" TargetMode="External"/><Relationship Id="rId6" Type="http://schemas.openxmlformats.org/officeDocument/2006/relationships/hyperlink" Target="http://www.accessengineeringlibrary.com/browse/perrys-chemical-engineers-handbook-eighth-edition/p200139d899710_6001?utm_source=VenturiMGF%20US&amp;utm_medium=Excel&amp;utm_content=Perrys%2010.1.12&amp;utm_campaign=FR%20ISO5167" TargetMode="External"/><Relationship Id="rId5" Type="http://schemas.openxmlformats.org/officeDocument/2006/relationships/hyperlink" Target="http://www.accessengineeringlibrary.com/browse/perrys-chemical-engineers-handbook-9th-edition/c9780071834087ch08lev1sec08" TargetMode="External"/><Relationship Id="rId4" Type="http://schemas.openxmlformats.org/officeDocument/2006/relationships/hyperlink" Target="http://accessengineeringlibrary.com/browse/piping-handbook-seventh-edition/p2000b0d5997E_13001?utm_source=VenturiMGF%20US&amp;utm_medium=Excel&amp;utm_content=PipingHB%20TE2.1&amp;utm_campaign=PressureDiffSpec%20ISO5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T61"/>
  <sheetViews>
    <sheetView showGridLines="0" workbookViewId="0"/>
  </sheetViews>
  <sheetFormatPr baseColWidth="10" defaultColWidth="8.83203125" defaultRowHeight="15" x14ac:dyDescent="0.2"/>
  <sheetData>
    <row r="9" spans="1:20" ht="23" x14ac:dyDescent="0.25">
      <c r="A9" s="1" t="s">
        <v>243</v>
      </c>
    </row>
    <row r="10" spans="1:20" ht="16" thickBot="1" x14ac:dyDescent="0.25"/>
    <row r="11" spans="1:20" ht="24" customHeight="1" thickBot="1" x14ac:dyDescent="0.25">
      <c r="B11" s="289" t="s">
        <v>0</v>
      </c>
      <c r="C11" s="290"/>
      <c r="D11" s="290"/>
      <c r="E11" s="290"/>
      <c r="F11" s="290"/>
      <c r="G11" s="290"/>
      <c r="H11" s="290"/>
      <c r="I11" s="290"/>
      <c r="J11" s="291"/>
    </row>
    <row r="12" spans="1:20" ht="16" x14ac:dyDescent="0.2">
      <c r="B12" s="2"/>
      <c r="C12" s="3"/>
      <c r="D12" s="3"/>
      <c r="E12" s="3"/>
      <c r="F12" s="3"/>
      <c r="G12" s="3"/>
      <c r="H12" s="3"/>
      <c r="I12" s="3"/>
      <c r="J12" s="4"/>
      <c r="L12" s="5"/>
      <c r="M12" s="6"/>
      <c r="N12" s="7"/>
      <c r="O12" s="7"/>
      <c r="P12" s="7"/>
      <c r="Q12" s="7"/>
      <c r="R12" s="7"/>
      <c r="S12" s="7"/>
      <c r="T12" s="8"/>
    </row>
    <row r="13" spans="1:20" ht="16" x14ac:dyDescent="0.2">
      <c r="B13" s="9" t="s">
        <v>1</v>
      </c>
      <c r="C13" s="3"/>
      <c r="D13" s="3"/>
      <c r="E13" s="3"/>
      <c r="F13" s="3"/>
      <c r="G13" s="3"/>
      <c r="H13" s="3"/>
      <c r="I13" s="3"/>
      <c r="J13" s="4"/>
      <c r="L13" s="2" t="s">
        <v>2</v>
      </c>
      <c r="M13" s="10"/>
      <c r="N13" s="3"/>
      <c r="O13" s="3"/>
      <c r="P13" s="3"/>
      <c r="Q13" s="3"/>
      <c r="R13" s="3"/>
      <c r="S13" s="3"/>
      <c r="T13" s="4"/>
    </row>
    <row r="14" spans="1:20" ht="16" x14ac:dyDescent="0.2">
      <c r="B14" s="9"/>
      <c r="C14" s="3"/>
      <c r="D14" s="3"/>
      <c r="E14" s="3"/>
      <c r="F14" s="3"/>
      <c r="G14" s="3"/>
      <c r="H14" s="3"/>
      <c r="I14" s="3"/>
      <c r="J14" s="4"/>
      <c r="L14" s="2" t="s">
        <v>301</v>
      </c>
      <c r="M14" s="3"/>
      <c r="N14" s="3"/>
      <c r="O14" s="3"/>
      <c r="P14" s="3"/>
      <c r="Q14" s="3"/>
      <c r="R14" s="3"/>
      <c r="S14" s="3"/>
      <c r="T14" s="4"/>
    </row>
    <row r="15" spans="1:20" ht="16" x14ac:dyDescent="0.2">
      <c r="B15" s="9"/>
      <c r="C15" s="10" t="s">
        <v>352</v>
      </c>
      <c r="D15" s="3"/>
      <c r="E15" s="3"/>
      <c r="F15" s="3"/>
      <c r="G15" s="3"/>
      <c r="H15" s="3"/>
      <c r="I15" s="3"/>
      <c r="J15" s="4"/>
      <c r="L15" s="2" t="s">
        <v>3</v>
      </c>
      <c r="M15" s="3"/>
      <c r="N15" s="3"/>
      <c r="O15" s="3"/>
      <c r="P15" s="3"/>
      <c r="Q15" s="3"/>
      <c r="R15" s="3"/>
      <c r="S15" s="3"/>
      <c r="T15" s="4"/>
    </row>
    <row r="16" spans="1:20" ht="17" thickBot="1" x14ac:dyDescent="0.25">
      <c r="B16" s="9"/>
      <c r="C16" s="3"/>
      <c r="D16" s="3"/>
      <c r="E16" s="3"/>
      <c r="F16" s="3"/>
      <c r="G16" s="3"/>
      <c r="H16" s="3"/>
      <c r="I16" s="3"/>
      <c r="J16" s="4"/>
      <c r="L16" s="11"/>
      <c r="M16" s="12"/>
      <c r="N16" s="12"/>
      <c r="O16" s="12"/>
      <c r="P16" s="12"/>
      <c r="Q16" s="12"/>
      <c r="R16" s="12"/>
      <c r="S16" s="12"/>
      <c r="T16" s="13"/>
    </row>
    <row r="17" spans="2:12" ht="16" x14ac:dyDescent="0.2">
      <c r="B17" s="9"/>
      <c r="C17" s="10" t="s">
        <v>4</v>
      </c>
      <c r="D17" s="3"/>
      <c r="E17" s="3"/>
      <c r="F17" s="3"/>
      <c r="G17" s="3"/>
      <c r="H17" s="3"/>
      <c r="I17" s="3"/>
      <c r="J17" s="4"/>
    </row>
    <row r="18" spans="2:12" ht="16" x14ac:dyDescent="0.2">
      <c r="B18" s="9"/>
      <c r="C18" s="10"/>
      <c r="D18" s="3"/>
      <c r="E18" s="3"/>
      <c r="F18" s="3"/>
      <c r="G18" s="3"/>
      <c r="H18" s="3"/>
      <c r="I18" s="3"/>
      <c r="J18" s="4"/>
    </row>
    <row r="19" spans="2:12" ht="16" x14ac:dyDescent="0.2">
      <c r="B19" s="9"/>
      <c r="C19" s="10" t="s">
        <v>140</v>
      </c>
      <c r="D19" s="3"/>
      <c r="E19" s="3"/>
      <c r="F19" s="3"/>
      <c r="G19" s="3"/>
      <c r="H19" s="3"/>
      <c r="I19" s="3"/>
      <c r="J19" s="4"/>
      <c r="L19" s="14" t="s">
        <v>5</v>
      </c>
    </row>
    <row r="20" spans="2:12" ht="16" x14ac:dyDescent="0.2">
      <c r="B20" s="9"/>
      <c r="C20" s="10"/>
      <c r="D20" s="3"/>
      <c r="E20" s="3"/>
      <c r="F20" s="3"/>
      <c r="G20" s="3"/>
      <c r="H20" s="3"/>
      <c r="I20" s="3"/>
      <c r="J20" s="4"/>
    </row>
    <row r="21" spans="2:12" ht="16" x14ac:dyDescent="0.2">
      <c r="B21" s="9"/>
      <c r="C21" s="10" t="s">
        <v>141</v>
      </c>
      <c r="D21" s="3"/>
      <c r="E21" s="3"/>
      <c r="F21" s="3"/>
      <c r="G21" s="3"/>
      <c r="H21" s="3"/>
      <c r="I21" s="3"/>
      <c r="J21" s="4"/>
      <c r="L21" s="15" t="s">
        <v>6</v>
      </c>
    </row>
    <row r="22" spans="2:12" ht="16" x14ac:dyDescent="0.2">
      <c r="B22" s="9"/>
      <c r="C22" s="10"/>
      <c r="D22" s="3"/>
      <c r="E22" s="3"/>
      <c r="F22" s="3"/>
      <c r="G22" s="3"/>
      <c r="H22" s="3"/>
      <c r="I22" s="3"/>
      <c r="J22" s="4"/>
      <c r="L22" s="15" t="s">
        <v>7</v>
      </c>
    </row>
    <row r="23" spans="2:12" ht="16" x14ac:dyDescent="0.2">
      <c r="B23" s="9"/>
      <c r="C23" s="10" t="s">
        <v>142</v>
      </c>
      <c r="D23" s="3"/>
      <c r="E23" s="3"/>
      <c r="F23" s="3"/>
      <c r="G23" s="3"/>
      <c r="H23" s="3"/>
      <c r="I23" s="3"/>
      <c r="J23" s="4"/>
      <c r="L23" s="15" t="s">
        <v>8</v>
      </c>
    </row>
    <row r="24" spans="2:12" ht="16" x14ac:dyDescent="0.2">
      <c r="B24" s="16"/>
      <c r="C24" s="10"/>
      <c r="D24" s="3"/>
      <c r="E24" s="3"/>
      <c r="F24" s="3"/>
      <c r="G24" s="3"/>
      <c r="H24" s="3"/>
      <c r="I24" s="3"/>
      <c r="J24" s="4"/>
      <c r="L24" s="15" t="s">
        <v>9</v>
      </c>
    </row>
    <row r="25" spans="2:12" ht="16" x14ac:dyDescent="0.2">
      <c r="B25" s="16"/>
      <c r="C25" s="10" t="s">
        <v>143</v>
      </c>
      <c r="D25" s="3"/>
      <c r="E25" s="3"/>
      <c r="F25" s="3"/>
      <c r="G25" s="3"/>
      <c r="H25" s="3"/>
      <c r="I25" s="3"/>
      <c r="J25" s="4"/>
      <c r="L25" s="15"/>
    </row>
    <row r="26" spans="2:12" ht="16" x14ac:dyDescent="0.2">
      <c r="B26" s="16"/>
      <c r="C26" s="10"/>
      <c r="D26" s="3"/>
      <c r="E26" s="3"/>
      <c r="F26" s="3"/>
      <c r="G26" s="3"/>
      <c r="H26" s="3"/>
      <c r="I26" s="3"/>
      <c r="J26" s="4"/>
      <c r="L26" s="15" t="s">
        <v>10</v>
      </c>
    </row>
    <row r="27" spans="2:12" ht="16" x14ac:dyDescent="0.2">
      <c r="B27" s="16"/>
      <c r="C27" s="10" t="s">
        <v>144</v>
      </c>
      <c r="D27" s="3"/>
      <c r="E27" s="3"/>
      <c r="F27" s="3"/>
      <c r="G27" s="3"/>
      <c r="H27" s="3"/>
      <c r="I27" s="3"/>
      <c r="J27" s="4"/>
      <c r="L27" s="15" t="s">
        <v>11</v>
      </c>
    </row>
    <row r="28" spans="2:12" ht="16" x14ac:dyDescent="0.2">
      <c r="B28" s="17"/>
      <c r="C28" s="10"/>
      <c r="D28" s="3"/>
      <c r="E28" s="3"/>
      <c r="F28" s="3"/>
      <c r="G28" s="3"/>
      <c r="H28" s="3"/>
      <c r="I28" s="3"/>
      <c r="J28" s="4"/>
      <c r="L28" s="15" t="s">
        <v>12</v>
      </c>
    </row>
    <row r="29" spans="2:12" ht="16" x14ac:dyDescent="0.2">
      <c r="B29" s="18"/>
      <c r="C29" s="10" t="s">
        <v>145</v>
      </c>
      <c r="D29" s="3"/>
      <c r="E29" s="3"/>
      <c r="F29" s="3"/>
      <c r="G29" s="3"/>
      <c r="H29" s="3"/>
      <c r="I29" s="3"/>
      <c r="J29" s="4"/>
    </row>
    <row r="30" spans="2:12" ht="16" x14ac:dyDescent="0.2">
      <c r="B30" s="16"/>
      <c r="C30" s="10"/>
      <c r="D30" s="3"/>
      <c r="E30" s="3"/>
      <c r="F30" s="3"/>
      <c r="G30" s="3"/>
      <c r="H30" s="3"/>
      <c r="I30" s="3"/>
      <c r="J30" s="4"/>
      <c r="L30" s="15" t="s">
        <v>302</v>
      </c>
    </row>
    <row r="31" spans="2:12" ht="16" thickBot="1" x14ac:dyDescent="0.25">
      <c r="B31" s="11"/>
      <c r="C31" s="12"/>
      <c r="D31" s="12"/>
      <c r="E31" s="12"/>
      <c r="F31" s="12"/>
      <c r="G31" s="12"/>
      <c r="H31" s="12"/>
      <c r="I31" s="12"/>
      <c r="J31" s="13"/>
      <c r="L31" s="15" t="s">
        <v>13</v>
      </c>
    </row>
    <row r="33" spans="2:18" x14ac:dyDescent="0.2">
      <c r="L33" s="15" t="s">
        <v>303</v>
      </c>
    </row>
    <row r="34" spans="2:18" x14ac:dyDescent="0.2">
      <c r="L34" s="15" t="s">
        <v>14</v>
      </c>
    </row>
    <row r="35" spans="2:18" ht="16" x14ac:dyDescent="0.2">
      <c r="L35" s="19" t="s">
        <v>15</v>
      </c>
    </row>
    <row r="37" spans="2:18" x14ac:dyDescent="0.2">
      <c r="B37" s="20" t="s">
        <v>16</v>
      </c>
      <c r="L37" s="15" t="s">
        <v>344</v>
      </c>
      <c r="M37" s="15"/>
      <c r="N37" s="15"/>
      <c r="O37" s="15"/>
      <c r="P37" s="15"/>
    </row>
    <row r="38" spans="2:18" x14ac:dyDescent="0.2">
      <c r="L38" s="15" t="s">
        <v>146</v>
      </c>
      <c r="M38" s="15"/>
      <c r="N38" s="15"/>
      <c r="O38" s="15"/>
      <c r="P38" s="15"/>
    </row>
    <row r="39" spans="2:18" x14ac:dyDescent="0.2">
      <c r="L39" s="15" t="s">
        <v>148</v>
      </c>
      <c r="N39" s="15"/>
      <c r="O39" s="15"/>
      <c r="P39" s="15"/>
      <c r="Q39" s="15"/>
      <c r="R39" s="15"/>
    </row>
    <row r="40" spans="2:18" x14ac:dyDescent="0.2">
      <c r="L40" s="15" t="s">
        <v>147</v>
      </c>
      <c r="N40" s="15"/>
      <c r="O40" s="15"/>
      <c r="P40" s="15"/>
      <c r="Q40" s="15"/>
      <c r="R40" s="15"/>
    </row>
    <row r="41" spans="2:18" x14ac:dyDescent="0.2">
      <c r="N41" s="15"/>
      <c r="O41" s="15"/>
      <c r="P41" s="15"/>
      <c r="Q41" s="15"/>
      <c r="R41" s="15"/>
    </row>
    <row r="42" spans="2:18" x14ac:dyDescent="0.2">
      <c r="L42" s="15" t="s">
        <v>149</v>
      </c>
      <c r="M42" s="15"/>
    </row>
    <row r="43" spans="2:18" ht="16" x14ac:dyDescent="0.2">
      <c r="L43" s="15" t="s">
        <v>345</v>
      </c>
      <c r="M43" s="15"/>
      <c r="N43" s="15"/>
      <c r="O43" s="15"/>
      <c r="P43" s="15"/>
    </row>
    <row r="44" spans="2:18" ht="16" x14ac:dyDescent="0.2">
      <c r="L44" s="14" t="s">
        <v>304</v>
      </c>
      <c r="N44" s="15"/>
      <c r="O44" s="15"/>
      <c r="P44" s="15"/>
    </row>
    <row r="45" spans="2:18" x14ac:dyDescent="0.2">
      <c r="L45" s="15"/>
      <c r="M45" s="15"/>
      <c r="N45" s="15"/>
      <c r="O45" s="15"/>
      <c r="P45" s="15"/>
      <c r="Q45" s="15"/>
      <c r="R45" s="15"/>
    </row>
    <row r="46" spans="2:18" x14ac:dyDescent="0.2">
      <c r="L46" s="15"/>
      <c r="M46" s="15"/>
      <c r="N46" s="15"/>
      <c r="O46" s="15"/>
      <c r="P46" s="15"/>
      <c r="Q46" s="15"/>
      <c r="R46" s="15"/>
    </row>
    <row r="47" spans="2:18" ht="16" x14ac:dyDescent="0.2">
      <c r="L47" s="14"/>
      <c r="M47" s="15"/>
      <c r="N47" s="15"/>
      <c r="O47" s="15"/>
      <c r="P47" s="15"/>
    </row>
    <row r="48" spans="2:18" x14ac:dyDescent="0.2">
      <c r="L48" s="15"/>
      <c r="N48" s="15"/>
      <c r="O48" s="15"/>
      <c r="P48" s="15"/>
    </row>
    <row r="49" spans="12:20" x14ac:dyDescent="0.2">
      <c r="L49" s="15"/>
    </row>
    <row r="54" spans="12:20" x14ac:dyDescent="0.2">
      <c r="L54" s="15"/>
      <c r="M54" s="15"/>
      <c r="N54" s="15"/>
      <c r="O54" s="15"/>
      <c r="P54" s="15"/>
      <c r="Q54" s="15"/>
      <c r="R54" s="15"/>
    </row>
    <row r="55" spans="12:20" x14ac:dyDescent="0.2">
      <c r="L55" s="20"/>
      <c r="M55" s="20"/>
      <c r="N55" s="20"/>
      <c r="O55" s="20"/>
      <c r="P55" s="20"/>
      <c r="Q55" s="20"/>
      <c r="R55" s="20"/>
      <c r="S55" s="21"/>
      <c r="T55" s="21"/>
    </row>
    <row r="56" spans="12:20" x14ac:dyDescent="0.2">
      <c r="L56" s="15"/>
      <c r="M56" s="15"/>
      <c r="N56" s="15"/>
      <c r="O56" s="15"/>
      <c r="P56" s="15"/>
      <c r="Q56" s="15"/>
      <c r="R56" s="15"/>
    </row>
    <row r="57" spans="12:20" x14ac:dyDescent="0.2">
      <c r="L57" s="15"/>
    </row>
    <row r="59" spans="12:20" x14ac:dyDescent="0.2">
      <c r="L59" s="15"/>
    </row>
    <row r="60" spans="12:20" x14ac:dyDescent="0.2">
      <c r="L60" s="15"/>
    </row>
    <row r="61" spans="12:20" x14ac:dyDescent="0.2">
      <c r="L61" s="15"/>
    </row>
  </sheetData>
  <sheetProtection sheet="1" objects="1" scenarios="1" formatCells="0"/>
  <mergeCells count="1">
    <mergeCell ref="B11:J1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2"/>
  <sheetViews>
    <sheetView showGridLines="0" topLeftCell="A2" zoomScale="115" zoomScaleNormal="115" workbookViewId="0">
      <selection activeCell="D12" sqref="D12"/>
    </sheetView>
  </sheetViews>
  <sheetFormatPr baseColWidth="10" defaultColWidth="8.83203125" defaultRowHeight="15" x14ac:dyDescent="0.2"/>
  <cols>
    <col min="1" max="1" width="6.6640625" customWidth="1"/>
    <col min="2" max="2" width="5.6640625" customWidth="1"/>
    <col min="3" max="3" width="30" customWidth="1"/>
    <col min="4" max="4" width="17.5" customWidth="1"/>
    <col min="5" max="5" width="15.33203125" customWidth="1"/>
    <col min="6" max="6" width="14.33203125" customWidth="1"/>
    <col min="7" max="7" width="18.83203125" customWidth="1"/>
    <col min="9" max="9" width="8.5" customWidth="1"/>
    <col min="10" max="10" width="14" customWidth="1"/>
    <col min="11" max="11" width="17.33203125" customWidth="1"/>
    <col min="12" max="12" width="15" customWidth="1"/>
    <col min="13" max="13" width="10.33203125" customWidth="1"/>
    <col min="14" max="14" width="10.1640625" customWidth="1"/>
    <col min="16" max="16" width="12.5" customWidth="1"/>
  </cols>
  <sheetData>
    <row r="1" spans="1:21" ht="16" thickBot="1" x14ac:dyDescent="0.25">
      <c r="A1" s="287"/>
      <c r="J1" s="22"/>
      <c r="K1" s="22"/>
      <c r="Q1" s="23"/>
      <c r="R1" s="23"/>
      <c r="S1" s="23"/>
      <c r="T1" s="23"/>
      <c r="U1" s="23"/>
    </row>
    <row r="2" spans="1:21" ht="18" x14ac:dyDescent="0.2">
      <c r="B2" s="292" t="s">
        <v>17</v>
      </c>
      <c r="C2" s="293"/>
      <c r="D2" s="293"/>
      <c r="E2" s="293"/>
      <c r="F2" s="294"/>
      <c r="H2" s="282" t="s">
        <v>18</v>
      </c>
      <c r="I2" s="15"/>
      <c r="J2" s="15"/>
      <c r="K2" s="15"/>
      <c r="L2" s="15"/>
      <c r="M2" s="15"/>
      <c r="N2" s="15"/>
      <c r="O2" s="15"/>
      <c r="Q2" s="23"/>
      <c r="R2" s="23"/>
      <c r="S2" s="23"/>
      <c r="T2" s="23"/>
      <c r="U2" s="23"/>
    </row>
    <row r="3" spans="1:21" ht="18" x14ac:dyDescent="0.2">
      <c r="B3" s="295" t="s">
        <v>19</v>
      </c>
      <c r="C3" s="296"/>
      <c r="D3" s="296"/>
      <c r="E3" s="296"/>
      <c r="F3" s="297"/>
      <c r="H3" s="281" t="s">
        <v>354</v>
      </c>
      <c r="I3" s="15"/>
      <c r="J3" s="15"/>
      <c r="K3" s="15"/>
      <c r="L3" s="15"/>
      <c r="M3" s="15"/>
      <c r="N3" s="15"/>
      <c r="O3" s="15"/>
    </row>
    <row r="4" spans="1:21" ht="17" thickBot="1" x14ac:dyDescent="0.25">
      <c r="B4" s="298"/>
      <c r="C4" s="299"/>
      <c r="D4" s="299"/>
      <c r="E4" s="299"/>
      <c r="F4" s="300"/>
      <c r="H4" s="282" t="s">
        <v>355</v>
      </c>
      <c r="I4" s="15"/>
      <c r="J4" s="24"/>
      <c r="K4" s="24"/>
      <c r="L4" s="24"/>
      <c r="M4" s="24"/>
      <c r="N4" s="24"/>
      <c r="O4" s="15"/>
    </row>
    <row r="5" spans="1:21" ht="16" x14ac:dyDescent="0.2">
      <c r="E5" s="25"/>
      <c r="F5" s="25"/>
      <c r="H5" s="282" t="s">
        <v>20</v>
      </c>
      <c r="I5" s="15"/>
      <c r="J5" s="15"/>
      <c r="K5" s="15"/>
      <c r="L5" s="15"/>
      <c r="M5" s="15"/>
      <c r="N5" s="15"/>
      <c r="O5" s="15"/>
    </row>
    <row r="6" spans="1:21" ht="16.5" customHeight="1" x14ac:dyDescent="0.2">
      <c r="A6" s="301" t="s">
        <v>26</v>
      </c>
      <c r="C6" s="32" t="s">
        <v>27</v>
      </c>
      <c r="H6" s="282" t="s">
        <v>21</v>
      </c>
      <c r="I6" s="15"/>
      <c r="J6" s="15"/>
      <c r="K6" s="15"/>
      <c r="L6" s="15"/>
      <c r="M6" s="15"/>
      <c r="N6" s="15"/>
      <c r="O6" s="15"/>
      <c r="Q6" s="23"/>
      <c r="R6" s="23"/>
      <c r="S6" s="23"/>
      <c r="T6" s="23"/>
      <c r="U6" s="23"/>
    </row>
    <row r="7" spans="1:21" ht="16" x14ac:dyDescent="0.2">
      <c r="A7" s="301"/>
      <c r="C7" s="33" t="s">
        <v>28</v>
      </c>
      <c r="H7" s="15"/>
      <c r="I7" s="15"/>
      <c r="J7" s="15"/>
      <c r="K7" s="15"/>
      <c r="L7" s="15"/>
      <c r="M7" s="15"/>
      <c r="N7" s="15"/>
      <c r="O7" s="15"/>
      <c r="Q7" s="23"/>
      <c r="R7" s="23"/>
      <c r="S7" s="23"/>
      <c r="T7" s="23"/>
      <c r="U7" s="23"/>
    </row>
    <row r="8" spans="1:21" ht="16" x14ac:dyDescent="0.2">
      <c r="A8" s="301"/>
      <c r="C8" s="32" t="s">
        <v>244</v>
      </c>
      <c r="H8" s="15" t="s">
        <v>22</v>
      </c>
      <c r="I8" s="15"/>
      <c r="J8" s="15"/>
      <c r="K8" s="15"/>
      <c r="L8" s="15"/>
      <c r="M8" s="15"/>
      <c r="N8" s="15"/>
      <c r="O8" s="15"/>
    </row>
    <row r="9" spans="1:21" ht="16" thickBot="1" x14ac:dyDescent="0.25">
      <c r="A9" s="301"/>
      <c r="H9" s="15" t="s">
        <v>23</v>
      </c>
      <c r="I9" s="15"/>
      <c r="J9" s="15"/>
      <c r="K9" s="15"/>
      <c r="L9" s="15"/>
      <c r="M9" s="15"/>
      <c r="N9" s="15"/>
      <c r="O9" s="15"/>
    </row>
    <row r="10" spans="1:21" ht="16" x14ac:dyDescent="0.2">
      <c r="A10" s="301"/>
      <c r="C10" s="308" t="s">
        <v>31</v>
      </c>
      <c r="D10" s="309"/>
      <c r="E10" s="311" t="s">
        <v>32</v>
      </c>
      <c r="F10" s="311"/>
      <c r="G10" s="311"/>
      <c r="H10" s="15" t="s">
        <v>305</v>
      </c>
      <c r="I10" s="15"/>
      <c r="J10" s="15"/>
      <c r="K10" s="15"/>
      <c r="L10" s="15"/>
      <c r="M10" s="15"/>
      <c r="N10" s="15"/>
      <c r="O10" s="15"/>
    </row>
    <row r="11" spans="1:21" x14ac:dyDescent="0.2">
      <c r="A11" s="301"/>
      <c r="C11" s="38"/>
      <c r="D11" s="28"/>
      <c r="F11" s="39"/>
      <c r="H11" s="15" t="s">
        <v>306</v>
      </c>
      <c r="I11" s="15"/>
      <c r="J11" s="15"/>
      <c r="K11" s="15"/>
      <c r="L11" s="15"/>
      <c r="M11" s="15"/>
      <c r="N11" s="15"/>
      <c r="O11" s="15"/>
    </row>
    <row r="12" spans="1:21" ht="16" x14ac:dyDescent="0.2">
      <c r="A12" s="301"/>
      <c r="C12" s="38" t="s">
        <v>33</v>
      </c>
      <c r="D12" s="41" t="s">
        <v>34</v>
      </c>
      <c r="E12" s="42"/>
      <c r="H12" s="15" t="s">
        <v>356</v>
      </c>
    </row>
    <row r="13" spans="1:21" ht="16" x14ac:dyDescent="0.2">
      <c r="A13" s="301"/>
      <c r="C13" s="38" t="s">
        <v>245</v>
      </c>
      <c r="D13" s="43" t="str">
        <f>IF(D12="","(nothing selected)",K24)</f>
        <v xml:space="preserve">  -183 to 727</v>
      </c>
      <c r="E13" s="42" t="s">
        <v>35</v>
      </c>
    </row>
    <row r="14" spans="1:21" ht="16" x14ac:dyDescent="0.2">
      <c r="A14" s="301"/>
      <c r="C14" s="38" t="s">
        <v>246</v>
      </c>
      <c r="D14" s="49">
        <v>27</v>
      </c>
      <c r="E14" s="42" t="s">
        <v>351</v>
      </c>
      <c r="I14" s="15" t="s">
        <v>25</v>
      </c>
      <c r="J14" s="15"/>
      <c r="K14" s="15"/>
      <c r="L14" s="15"/>
      <c r="M14" s="15"/>
      <c r="N14" s="15"/>
      <c r="O14" s="15"/>
    </row>
    <row r="15" spans="1:21" ht="16" x14ac:dyDescent="0.2">
      <c r="A15" s="301"/>
      <c r="C15" s="38" t="s">
        <v>247</v>
      </c>
      <c r="D15" s="49">
        <v>690</v>
      </c>
      <c r="E15" s="52" t="s">
        <v>37</v>
      </c>
      <c r="I15" s="15" t="s">
        <v>334</v>
      </c>
      <c r="J15" s="15"/>
      <c r="K15" s="15"/>
      <c r="L15" s="15"/>
      <c r="M15" s="15"/>
      <c r="N15" s="15"/>
      <c r="O15" s="15"/>
    </row>
    <row r="16" spans="1:21" ht="19" thickBot="1" x14ac:dyDescent="0.25">
      <c r="A16" s="301"/>
      <c r="C16" s="58" t="s">
        <v>248</v>
      </c>
      <c r="D16" s="59">
        <f>K25</f>
        <v>1.1254412476392073E-5</v>
      </c>
      <c r="E16" s="52" t="s">
        <v>337</v>
      </c>
      <c r="I16" s="15" t="s">
        <v>357</v>
      </c>
      <c r="J16" s="15"/>
      <c r="K16" s="15"/>
      <c r="L16" s="15"/>
      <c r="M16" s="15"/>
      <c r="N16" s="15"/>
      <c r="O16" s="15"/>
    </row>
    <row r="17" spans="1:21" ht="16" thickBot="1" x14ac:dyDescent="0.25">
      <c r="A17" s="301"/>
      <c r="U17" s="23"/>
    </row>
    <row r="18" spans="1:21" x14ac:dyDescent="0.2">
      <c r="A18" s="301"/>
      <c r="C18" s="258" t="s">
        <v>46</v>
      </c>
      <c r="D18" s="259"/>
      <c r="E18" s="259"/>
      <c r="F18" s="259"/>
      <c r="G18" s="260"/>
      <c r="J18" s="34" t="s">
        <v>29</v>
      </c>
      <c r="K18" s="35"/>
      <c r="L18" s="35"/>
      <c r="M18" s="36" t="s">
        <v>30</v>
      </c>
      <c r="N18" s="310" t="s">
        <v>358</v>
      </c>
      <c r="O18" s="310"/>
      <c r="P18" s="310"/>
      <c r="Q18" s="310"/>
      <c r="R18" s="310"/>
      <c r="S18" s="310"/>
      <c r="U18" s="23"/>
    </row>
    <row r="19" spans="1:21" ht="17" x14ac:dyDescent="0.25">
      <c r="A19" s="301"/>
      <c r="C19" s="261" t="s">
        <v>48</v>
      </c>
      <c r="D19" s="262" t="str">
        <f>IF(D15/CriticalPressure&lt;((D14+459.67)/(2*CriticalTemperature)),"YES","NO")</f>
        <v>YES</v>
      </c>
      <c r="E19" s="116"/>
      <c r="F19" s="263" t="s">
        <v>49</v>
      </c>
      <c r="G19" s="264">
        <f>D15/CriticalPressure</f>
        <v>0.15003261578604044</v>
      </c>
      <c r="J19" s="37"/>
      <c r="L19" s="37" t="s">
        <v>335</v>
      </c>
      <c r="N19" s="310" t="s">
        <v>359</v>
      </c>
      <c r="O19" s="310"/>
      <c r="P19" s="310"/>
      <c r="Q19" s="310"/>
      <c r="R19" s="310"/>
      <c r="S19" s="310"/>
    </row>
    <row r="20" spans="1:21" x14ac:dyDescent="0.2">
      <c r="A20" s="301"/>
      <c r="C20" s="120"/>
      <c r="D20" s="116"/>
      <c r="E20" s="116"/>
      <c r="F20" s="263" t="s">
        <v>51</v>
      </c>
      <c r="G20" s="264">
        <f>(D14+459.67)/(2*CriticalTemperature)</f>
        <v>1.2769200898385844</v>
      </c>
      <c r="L20" s="37" t="s">
        <v>336</v>
      </c>
      <c r="N20" s="312" t="s">
        <v>307</v>
      </c>
      <c r="O20" s="312"/>
      <c r="P20" s="312"/>
      <c r="Q20" s="312"/>
      <c r="R20" s="40"/>
      <c r="S20" s="40"/>
      <c r="U20" s="23"/>
    </row>
    <row r="21" spans="1:21" ht="19" x14ac:dyDescent="0.25">
      <c r="A21" s="301"/>
      <c r="C21" s="265" t="str">
        <f>IF(D19="YES","     The entered values for T and P above are ok.","     The entered values for T and/or P above should be changed")</f>
        <v xml:space="preserve">     The entered values for T and P above are ok.</v>
      </c>
      <c r="D21" s="116"/>
      <c r="E21" s="116"/>
      <c r="F21" s="116"/>
      <c r="G21" s="117"/>
      <c r="U21" s="23"/>
    </row>
    <row r="22" spans="1:21" ht="20" thickBot="1" x14ac:dyDescent="0.25">
      <c r="A22" s="301"/>
      <c r="C22" s="266" t="str">
        <f>IF(D19="YES","","     so that P/Pc &lt; T/(2Tc)")</f>
        <v/>
      </c>
      <c r="D22" s="267"/>
      <c r="E22" s="268"/>
      <c r="F22" s="267"/>
      <c r="G22" s="269"/>
      <c r="I22" s="44"/>
      <c r="J22" s="45"/>
      <c r="K22" s="45"/>
      <c r="L22" s="46"/>
      <c r="M22" s="46"/>
      <c r="N22" s="46"/>
      <c r="O22" s="46"/>
      <c r="P22" s="46"/>
      <c r="Q22" s="47"/>
      <c r="R22" s="47"/>
      <c r="S22" s="47"/>
      <c r="T22" s="48"/>
      <c r="U22" s="23"/>
    </row>
    <row r="23" spans="1:21" x14ac:dyDescent="0.2">
      <c r="A23" s="301"/>
      <c r="I23" s="50"/>
      <c r="J23" s="302" t="s">
        <v>36</v>
      </c>
      <c r="K23" s="303"/>
      <c r="L23" s="303"/>
      <c r="M23" s="303"/>
      <c r="N23" s="303"/>
      <c r="O23" s="303"/>
      <c r="P23" s="303"/>
      <c r="Q23" s="303"/>
      <c r="R23" s="303"/>
      <c r="S23" s="304"/>
      <c r="T23" s="51"/>
      <c r="U23" s="23"/>
    </row>
    <row r="24" spans="1:21" ht="16" thickBot="1" x14ac:dyDescent="0.25">
      <c r="A24" s="301"/>
      <c r="C24" s="72" t="s">
        <v>56</v>
      </c>
      <c r="E24" s="73"/>
      <c r="F24" s="71"/>
      <c r="I24" s="50"/>
      <c r="J24" s="53"/>
      <c r="K24" s="54" t="str">
        <f>VLOOKUP($D$12,$J$27:$P$47,2)</f>
        <v xml:space="preserve">  -183 to 727</v>
      </c>
      <c r="L24" s="55">
        <f>VLOOKUP($D$12,$J$27:$P$47,3)</f>
        <v>5.2545999999999994E-7</v>
      </c>
      <c r="M24" s="54">
        <f>VLOOKUP($D$12,$J$27:$P$47,4)</f>
        <v>0.59006000000000003</v>
      </c>
      <c r="N24" s="54">
        <f>VLOOKUP($D$12,$J$27:$P$47,5)</f>
        <v>105.67</v>
      </c>
      <c r="O24" s="54">
        <f>VLOOKUP($D$12,$J$27:$P$47,6)</f>
        <v>0</v>
      </c>
      <c r="P24" s="54">
        <f>VLOOKUP($D$12,$J$27:$P$47,7)</f>
        <v>16.042000000000002</v>
      </c>
      <c r="Q24" s="56">
        <f>VLOOKUP($D$12,$J$26:$V$47,8)</f>
        <v>190.56399999999999</v>
      </c>
      <c r="R24" s="54">
        <f>VLOOKUP($D$12,$J$26:$V$47,9)</f>
        <v>4599</v>
      </c>
      <c r="S24" s="57">
        <f>VLOOKUP($D$12,$J$26:$V$47,10)</f>
        <v>1.32</v>
      </c>
      <c r="T24" s="51"/>
      <c r="U24" s="23"/>
    </row>
    <row r="25" spans="1:21" x14ac:dyDescent="0.2">
      <c r="A25" s="301"/>
      <c r="C25" s="284" t="s">
        <v>338</v>
      </c>
      <c r="D25" s="285"/>
      <c r="I25" s="50"/>
      <c r="J25" s="60" t="s">
        <v>38</v>
      </c>
      <c r="K25" s="61">
        <f>L24*(((D14+273.15))^(M24))/(1+(N24/((D14+273.15)))+(O24/(((D14+273.15))^2)))</f>
        <v>1.1254412476392073E-5</v>
      </c>
      <c r="L25" s="305" t="s">
        <v>39</v>
      </c>
      <c r="M25" s="305"/>
      <c r="N25" s="305"/>
      <c r="O25" s="305"/>
      <c r="P25" s="306"/>
      <c r="Q25" s="62"/>
      <c r="R25" s="63"/>
      <c r="S25" s="63"/>
      <c r="T25" s="51"/>
    </row>
    <row r="26" spans="1:21" x14ac:dyDescent="0.2">
      <c r="A26" s="301"/>
      <c r="C26" s="307" t="s">
        <v>59</v>
      </c>
      <c r="D26" s="307"/>
      <c r="I26" s="50"/>
      <c r="J26" s="64"/>
      <c r="K26" s="65" t="s">
        <v>250</v>
      </c>
      <c r="L26" s="66" t="s">
        <v>40</v>
      </c>
      <c r="M26" s="66" t="s">
        <v>41</v>
      </c>
      <c r="N26" s="66" t="s">
        <v>42</v>
      </c>
      <c r="O26" s="66" t="s">
        <v>43</v>
      </c>
      <c r="P26" s="67" t="s">
        <v>44</v>
      </c>
      <c r="Q26" s="65" t="s">
        <v>251</v>
      </c>
      <c r="R26" s="66" t="s">
        <v>252</v>
      </c>
      <c r="S26" s="66" t="s">
        <v>45</v>
      </c>
      <c r="T26" s="51"/>
    </row>
    <row r="27" spans="1:21" ht="16" thickBot="1" x14ac:dyDescent="0.25">
      <c r="A27" s="301"/>
      <c r="I27" s="50"/>
      <c r="J27" s="27" t="s">
        <v>47</v>
      </c>
      <c r="K27" s="66" t="s">
        <v>253</v>
      </c>
      <c r="L27" s="68">
        <f>1.2025/1000000</f>
        <v>1.2024999999999999E-6</v>
      </c>
      <c r="M27" s="66">
        <v>0.49519999999999997</v>
      </c>
      <c r="N27" s="66">
        <v>291.39999999999998</v>
      </c>
      <c r="O27" s="66"/>
      <c r="P27" s="67">
        <v>26.036999999999999</v>
      </c>
      <c r="Q27" s="66">
        <v>308.3</v>
      </c>
      <c r="R27" s="270">
        <v>6138</v>
      </c>
      <c r="S27" s="70">
        <v>1.3</v>
      </c>
      <c r="T27" s="51"/>
    </row>
    <row r="28" spans="1:21" x14ac:dyDescent="0.2">
      <c r="A28" s="301"/>
      <c r="C28" s="308" t="s">
        <v>62</v>
      </c>
      <c r="D28" s="309"/>
      <c r="I28" s="50"/>
      <c r="J28" s="27" t="s">
        <v>50</v>
      </c>
      <c r="K28" s="66" t="s">
        <v>254</v>
      </c>
      <c r="L28" s="68">
        <f>1.425/1000000</f>
        <v>1.4250000000000001E-6</v>
      </c>
      <c r="M28" s="66">
        <v>0.50390000000000001</v>
      </c>
      <c r="N28" s="66">
        <v>105.3</v>
      </c>
      <c r="O28" s="66"/>
      <c r="P28" s="67">
        <v>28.96</v>
      </c>
      <c r="Q28" s="66">
        <v>132.44999999999999</v>
      </c>
      <c r="R28" s="66">
        <v>3774</v>
      </c>
      <c r="S28" s="70">
        <v>1.4</v>
      </c>
      <c r="T28" s="51"/>
    </row>
    <row r="29" spans="1:21" x14ac:dyDescent="0.2">
      <c r="A29" s="301"/>
      <c r="C29" s="74"/>
      <c r="D29" s="75"/>
      <c r="I29" s="50"/>
      <c r="J29" s="27" t="s">
        <v>52</v>
      </c>
      <c r="K29" s="66" t="s">
        <v>255</v>
      </c>
      <c r="L29" s="68">
        <f>4.1855/100000000</f>
        <v>4.1855E-8</v>
      </c>
      <c r="M29" s="66">
        <v>0.98060000000000003</v>
      </c>
      <c r="N29" s="66">
        <v>30.8</v>
      </c>
      <c r="O29" s="66"/>
      <c r="P29" s="67">
        <v>17.030999999999999</v>
      </c>
      <c r="Q29" s="66">
        <v>405.65</v>
      </c>
      <c r="R29" s="66">
        <v>11280</v>
      </c>
      <c r="S29" s="66">
        <v>1.32</v>
      </c>
      <c r="T29" s="51"/>
    </row>
    <row r="30" spans="1:21" ht="16" thickBot="1" x14ac:dyDescent="0.25">
      <c r="A30" s="301"/>
      <c r="C30" s="58" t="s">
        <v>248</v>
      </c>
      <c r="D30" s="76"/>
      <c r="H30" s="71"/>
      <c r="I30" s="50"/>
      <c r="J30" s="27" t="s">
        <v>53</v>
      </c>
      <c r="K30" s="66" t="s">
        <v>256</v>
      </c>
      <c r="L30" s="68">
        <f>9.2121/10000000</f>
        <v>9.2120999999999992E-7</v>
      </c>
      <c r="M30" s="66">
        <v>0.60528999999999999</v>
      </c>
      <c r="N30" s="66">
        <v>83.24</v>
      </c>
      <c r="O30" s="66"/>
      <c r="P30" s="67">
        <v>39.948</v>
      </c>
      <c r="Q30" s="66">
        <v>150.86000000000001</v>
      </c>
      <c r="R30" s="66">
        <v>4898</v>
      </c>
      <c r="S30" s="66">
        <v>1.67</v>
      </c>
      <c r="T30" s="51"/>
    </row>
    <row r="31" spans="1:21" x14ac:dyDescent="0.2">
      <c r="A31" s="301"/>
      <c r="H31" s="71"/>
      <c r="I31" s="50"/>
      <c r="J31" s="27" t="s">
        <v>54</v>
      </c>
      <c r="K31" s="66" t="s">
        <v>257</v>
      </c>
      <c r="L31" s="68">
        <f>3.4387/100000000</f>
        <v>3.4386999999999996E-8</v>
      </c>
      <c r="M31" s="66">
        <v>0.94603999999999999</v>
      </c>
      <c r="N31" s="66"/>
      <c r="O31" s="66"/>
      <c r="P31" s="67">
        <v>58.122</v>
      </c>
      <c r="Q31" s="66">
        <v>425.12</v>
      </c>
      <c r="R31" s="66">
        <v>3796</v>
      </c>
      <c r="S31" s="66">
        <v>1.1100000000000001</v>
      </c>
      <c r="T31" s="51"/>
    </row>
    <row r="32" spans="1:21" ht="17.25" customHeight="1" x14ac:dyDescent="0.2">
      <c r="A32" s="301"/>
      <c r="C32" s="77" t="s">
        <v>67</v>
      </c>
      <c r="D32" s="78">
        <f>IF(D30="",D16,D30)</f>
        <v>1.1254412476392073E-5</v>
      </c>
      <c r="E32" s="79" t="s">
        <v>249</v>
      </c>
      <c r="F32" s="72" t="str">
        <f>IF(D30="","     (from menu selection)","     (manual entry)")</f>
        <v xml:space="preserve">     (from menu selection)</v>
      </c>
      <c r="H32" s="71"/>
      <c r="I32" s="50"/>
      <c r="J32" s="27" t="s">
        <v>55</v>
      </c>
      <c r="K32" s="66" t="s">
        <v>258</v>
      </c>
      <c r="L32" s="68">
        <f>2.148/1000000</f>
        <v>2.148E-6</v>
      </c>
      <c r="M32" s="66">
        <v>0.46</v>
      </c>
      <c r="N32" s="66">
        <v>290</v>
      </c>
      <c r="O32" s="66"/>
      <c r="P32" s="67">
        <v>44.01</v>
      </c>
      <c r="Q32" s="66">
        <v>304.20999999999998</v>
      </c>
      <c r="R32" s="66">
        <v>7383</v>
      </c>
      <c r="S32" s="70">
        <v>1.3</v>
      </c>
      <c r="T32" s="51"/>
    </row>
    <row r="33" spans="1:20" x14ac:dyDescent="0.2">
      <c r="A33" s="301"/>
      <c r="C33" s="81" t="s">
        <v>68</v>
      </c>
      <c r="D33" s="82"/>
      <c r="E33" s="82"/>
      <c r="H33" s="71"/>
      <c r="I33" s="50"/>
      <c r="J33" s="27" t="s">
        <v>57</v>
      </c>
      <c r="K33" s="66" t="s">
        <v>259</v>
      </c>
      <c r="L33" s="68">
        <f>1.1127/1000000</f>
        <v>1.1127E-6</v>
      </c>
      <c r="M33" s="66">
        <v>0.53380000000000005</v>
      </c>
      <c r="N33" s="66">
        <v>94.7</v>
      </c>
      <c r="O33" s="66"/>
      <c r="P33" s="67">
        <v>28.01</v>
      </c>
      <c r="Q33" s="66">
        <v>132.91999999999999</v>
      </c>
      <c r="R33" s="66">
        <v>3499</v>
      </c>
      <c r="S33" s="70">
        <v>1.4</v>
      </c>
      <c r="T33" s="51"/>
    </row>
    <row r="34" spans="1:20" ht="22.5" customHeight="1" thickBot="1" x14ac:dyDescent="0.25">
      <c r="I34" s="50"/>
      <c r="J34" s="27" t="s">
        <v>58</v>
      </c>
      <c r="K34" s="66" t="s">
        <v>260</v>
      </c>
      <c r="L34" s="68">
        <f>2.6/10000000</f>
        <v>2.6E-7</v>
      </c>
      <c r="M34" s="66">
        <v>0.74229999999999996</v>
      </c>
      <c r="N34" s="66">
        <v>98.3</v>
      </c>
      <c r="O34" s="66"/>
      <c r="P34" s="67">
        <v>70.906000000000006</v>
      </c>
      <c r="Q34" s="66">
        <v>417.15</v>
      </c>
      <c r="R34" s="66">
        <v>7710</v>
      </c>
      <c r="S34" s="66">
        <v>1.33</v>
      </c>
      <c r="T34" s="51"/>
    </row>
    <row r="35" spans="1:20" ht="19.5" customHeight="1" thickBot="1" x14ac:dyDescent="0.25">
      <c r="A35" s="313" t="s">
        <v>71</v>
      </c>
      <c r="C35" s="314" t="s">
        <v>72</v>
      </c>
      <c r="D35" s="315"/>
      <c r="I35" s="50"/>
      <c r="J35" s="27" t="s">
        <v>60</v>
      </c>
      <c r="K35" s="66" t="s">
        <v>261</v>
      </c>
      <c r="L35" s="68">
        <f>2.5906/10000000</f>
        <v>2.5905999999999999E-7</v>
      </c>
      <c r="M35" s="66">
        <v>0.67988000000000004</v>
      </c>
      <c r="N35" s="66">
        <v>98.902000000000001</v>
      </c>
      <c r="O35" s="66"/>
      <c r="P35" s="67">
        <v>30.068999999999999</v>
      </c>
      <c r="Q35" s="66">
        <v>305.32</v>
      </c>
      <c r="R35" s="66">
        <v>4872</v>
      </c>
      <c r="S35" s="66">
        <v>1.22</v>
      </c>
      <c r="T35" s="51"/>
    </row>
    <row r="36" spans="1:20" ht="19.5" customHeight="1" thickBot="1" x14ac:dyDescent="0.25">
      <c r="A36" s="313"/>
      <c r="C36" s="83">
        <f>P24</f>
        <v>16.042000000000002</v>
      </c>
      <c r="D36" s="84"/>
      <c r="I36" s="50"/>
      <c r="J36" s="27" t="s">
        <v>61</v>
      </c>
      <c r="K36" s="66" t="s">
        <v>262</v>
      </c>
      <c r="L36" s="68">
        <f>2.0789/1000000</f>
        <v>2.0789000000000001E-6</v>
      </c>
      <c r="M36" s="66">
        <v>0.4163</v>
      </c>
      <c r="N36" s="66">
        <v>352.7</v>
      </c>
      <c r="O36" s="66"/>
      <c r="P36" s="67">
        <v>28.053000000000001</v>
      </c>
      <c r="Q36" s="66">
        <v>282.33999999999997</v>
      </c>
      <c r="R36" s="66">
        <v>5041</v>
      </c>
      <c r="S36" s="66">
        <v>1.22</v>
      </c>
      <c r="T36" s="51"/>
    </row>
    <row r="37" spans="1:20" x14ac:dyDescent="0.2">
      <c r="A37" s="313"/>
      <c r="I37" s="50"/>
      <c r="J37" s="27" t="s">
        <v>63</v>
      </c>
      <c r="K37" s="66" t="s">
        <v>263</v>
      </c>
      <c r="L37" s="68">
        <f>3.253/10000000</f>
        <v>3.2530000000000003E-7</v>
      </c>
      <c r="M37" s="66">
        <v>0.71619999999999995</v>
      </c>
      <c r="N37" s="66">
        <v>-9.6</v>
      </c>
      <c r="O37" s="66">
        <v>107</v>
      </c>
      <c r="P37" s="67">
        <v>4.0030000000000001</v>
      </c>
      <c r="Q37" s="66">
        <v>5.2</v>
      </c>
      <c r="R37" s="69">
        <v>227.5</v>
      </c>
      <c r="S37" s="66">
        <v>1.67</v>
      </c>
      <c r="T37" s="51"/>
    </row>
    <row r="38" spans="1:20" x14ac:dyDescent="0.2">
      <c r="A38" s="313"/>
      <c r="C38" s="72" t="s">
        <v>56</v>
      </c>
      <c r="I38" s="50"/>
      <c r="J38" s="27" t="s">
        <v>64</v>
      </c>
      <c r="K38" s="66" t="s">
        <v>264</v>
      </c>
      <c r="L38" s="68">
        <f>1.797/10000000</f>
        <v>1.797E-7</v>
      </c>
      <c r="M38" s="66">
        <v>0.68500000000000005</v>
      </c>
      <c r="N38" s="66">
        <v>-0.59</v>
      </c>
      <c r="O38" s="66">
        <v>140</v>
      </c>
      <c r="P38" s="67">
        <v>2.016</v>
      </c>
      <c r="Q38" s="66">
        <v>33.19</v>
      </c>
      <c r="R38" s="66">
        <v>1313</v>
      </c>
      <c r="S38" s="66">
        <v>1.41</v>
      </c>
      <c r="T38" s="51"/>
    </row>
    <row r="39" spans="1:20" x14ac:dyDescent="0.2">
      <c r="A39" s="313"/>
      <c r="C39" s="284" t="s">
        <v>339</v>
      </c>
      <c r="D39" s="285"/>
      <c r="I39" s="50"/>
      <c r="J39" s="27" t="s">
        <v>65</v>
      </c>
      <c r="K39" s="66" t="s">
        <v>260</v>
      </c>
      <c r="L39" s="68">
        <f>4.924/10000000</f>
        <v>4.9240000000000004E-7</v>
      </c>
      <c r="M39" s="66">
        <v>0.67020000000000002</v>
      </c>
      <c r="N39" s="66">
        <v>157.69999999999999</v>
      </c>
      <c r="O39" s="66"/>
      <c r="P39" s="67">
        <v>36.460999999999999</v>
      </c>
      <c r="Q39" s="66">
        <v>324.64999999999998</v>
      </c>
      <c r="R39" s="66">
        <v>8310</v>
      </c>
      <c r="S39" s="66">
        <v>1.41</v>
      </c>
      <c r="T39" s="51"/>
    </row>
    <row r="40" spans="1:20" x14ac:dyDescent="0.2">
      <c r="A40" s="313"/>
      <c r="I40" s="50"/>
      <c r="J40" s="27" t="s">
        <v>66</v>
      </c>
      <c r="K40" s="66" t="s">
        <v>265</v>
      </c>
      <c r="L40" s="68">
        <f>3.9314/100000000</f>
        <v>3.9313999999999997E-8</v>
      </c>
      <c r="M40" s="66">
        <v>1.0134000000000001</v>
      </c>
      <c r="N40" s="66"/>
      <c r="O40" s="66"/>
      <c r="P40" s="67">
        <v>34.081000000000003</v>
      </c>
      <c r="Q40" s="66">
        <v>373.53</v>
      </c>
      <c r="R40" s="270">
        <v>8963</v>
      </c>
      <c r="S40" s="70">
        <v>1.3</v>
      </c>
      <c r="T40" s="51"/>
    </row>
    <row r="41" spans="1:20" ht="16" x14ac:dyDescent="0.2">
      <c r="A41" s="313"/>
      <c r="C41" s="316" t="s">
        <v>77</v>
      </c>
      <c r="D41" s="316"/>
      <c r="I41" s="50"/>
      <c r="J41" s="27" t="s">
        <v>34</v>
      </c>
      <c r="K41" s="66" t="s">
        <v>261</v>
      </c>
      <c r="L41" s="68">
        <f>5.2546/10000000</f>
        <v>5.2545999999999994E-7</v>
      </c>
      <c r="M41" s="66">
        <v>0.59006000000000003</v>
      </c>
      <c r="N41" s="66">
        <v>105.67</v>
      </c>
      <c r="O41" s="66"/>
      <c r="P41" s="67">
        <v>16.042000000000002</v>
      </c>
      <c r="Q41" s="70">
        <v>190.56399999999999</v>
      </c>
      <c r="R41" s="271">
        <v>4599</v>
      </c>
      <c r="S41" s="80">
        <v>1.32</v>
      </c>
      <c r="T41" s="51"/>
    </row>
    <row r="42" spans="1:20" ht="16" thickBot="1" x14ac:dyDescent="0.25">
      <c r="A42" s="313"/>
      <c r="I42" s="50"/>
      <c r="J42" s="27" t="s">
        <v>69</v>
      </c>
      <c r="K42" s="66" t="s">
        <v>266</v>
      </c>
      <c r="L42" s="68">
        <f>6.5592/10000000</f>
        <v>6.5591999999999996E-7</v>
      </c>
      <c r="M42" s="66">
        <v>0.60809999999999997</v>
      </c>
      <c r="N42" s="66">
        <v>54.713999999999999</v>
      </c>
      <c r="O42" s="66"/>
      <c r="P42" s="67">
        <v>30.006</v>
      </c>
      <c r="Q42" s="66">
        <v>180.15</v>
      </c>
      <c r="R42" s="270">
        <v>6480</v>
      </c>
      <c r="S42" s="70">
        <v>1.4</v>
      </c>
      <c r="T42" s="51"/>
    </row>
    <row r="43" spans="1:20" x14ac:dyDescent="0.2">
      <c r="A43" s="313"/>
      <c r="C43" s="308" t="s">
        <v>78</v>
      </c>
      <c r="D43" s="309"/>
      <c r="I43" s="50"/>
      <c r="J43" s="27" t="s">
        <v>70</v>
      </c>
      <c r="K43" s="66" t="s">
        <v>267</v>
      </c>
      <c r="L43" s="68">
        <f>1.467/1000000</f>
        <v>1.4670000000000001E-6</v>
      </c>
      <c r="M43" s="66">
        <v>0.51229999999999998</v>
      </c>
      <c r="N43" s="66">
        <v>125.4</v>
      </c>
      <c r="O43" s="66"/>
      <c r="P43" s="67">
        <v>28.013000000000002</v>
      </c>
      <c r="Q43" s="66">
        <v>126.2</v>
      </c>
      <c r="R43" s="270">
        <v>3400</v>
      </c>
      <c r="S43" s="66">
        <v>1.41</v>
      </c>
      <c r="T43" s="51"/>
    </row>
    <row r="44" spans="1:20" x14ac:dyDescent="0.2">
      <c r="A44" s="313"/>
      <c r="C44" s="74"/>
      <c r="D44" s="75"/>
      <c r="I44" s="50"/>
      <c r="J44" s="27" t="s">
        <v>73</v>
      </c>
      <c r="K44" s="66" t="s">
        <v>268</v>
      </c>
      <c r="L44" s="68">
        <f>1.101/1000000</f>
        <v>1.1009999999999999E-6</v>
      </c>
      <c r="M44" s="66">
        <v>0.56340000000000001</v>
      </c>
      <c r="N44" s="66">
        <v>96.3</v>
      </c>
      <c r="O44" s="66"/>
      <c r="P44" s="67">
        <v>31.998999999999999</v>
      </c>
      <c r="Q44" s="66">
        <v>154.58000000000001</v>
      </c>
      <c r="R44" s="66">
        <v>5043</v>
      </c>
      <c r="S44" s="70">
        <v>1.4</v>
      </c>
      <c r="T44" s="51"/>
    </row>
    <row r="45" spans="1:20" ht="16" thickBot="1" x14ac:dyDescent="0.25">
      <c r="A45" s="313"/>
      <c r="C45" s="58" t="s">
        <v>79</v>
      </c>
      <c r="D45" s="76"/>
      <c r="I45" s="50"/>
      <c r="J45" s="27" t="s">
        <v>74</v>
      </c>
      <c r="K45" s="66" t="s">
        <v>269</v>
      </c>
      <c r="L45" s="68">
        <f>4.9054/100000000</f>
        <v>4.9054000000000004E-8</v>
      </c>
      <c r="M45" s="66">
        <v>0.90125</v>
      </c>
      <c r="N45" s="66"/>
      <c r="O45" s="66"/>
      <c r="P45" s="67">
        <v>44.095999999999997</v>
      </c>
      <c r="Q45" s="66">
        <v>369.83</v>
      </c>
      <c r="R45" s="270">
        <v>4248</v>
      </c>
      <c r="S45" s="66">
        <v>1.1499999999999999</v>
      </c>
      <c r="T45" s="51"/>
    </row>
    <row r="46" spans="1:20" x14ac:dyDescent="0.2">
      <c r="A46" s="313"/>
      <c r="I46" s="50"/>
      <c r="J46" s="27" t="s">
        <v>75</v>
      </c>
      <c r="K46" s="66" t="s">
        <v>270</v>
      </c>
      <c r="L46" s="68">
        <f>7.3919/10000000</f>
        <v>7.3918999999999999E-7</v>
      </c>
      <c r="M46" s="66">
        <v>0.5423</v>
      </c>
      <c r="N46" s="66">
        <v>263.73</v>
      </c>
      <c r="O46" s="66"/>
      <c r="P46" s="67">
        <v>42.08</v>
      </c>
      <c r="Q46" s="66">
        <v>364.85</v>
      </c>
      <c r="R46" s="270">
        <v>4600</v>
      </c>
      <c r="S46" s="66">
        <v>1.1399999999999999</v>
      </c>
      <c r="T46" s="51"/>
    </row>
    <row r="47" spans="1:20" ht="16" x14ac:dyDescent="0.2">
      <c r="A47" s="313"/>
      <c r="C47" s="77" t="s">
        <v>80</v>
      </c>
      <c r="D47" s="90">
        <f>IF(D45="",C36,D45)</f>
        <v>16.042000000000002</v>
      </c>
      <c r="E47" s="79"/>
      <c r="F47" s="72" t="str">
        <f>IF(D45="","     (from menu selection)","     (manual entry)")</f>
        <v xml:space="preserve">     (from menu selection)</v>
      </c>
      <c r="I47" s="50"/>
      <c r="J47" s="27" t="s">
        <v>76</v>
      </c>
      <c r="K47" s="66" t="s">
        <v>271</v>
      </c>
      <c r="L47" s="68">
        <f>6.863/10000000</f>
        <v>6.863E-7</v>
      </c>
      <c r="M47" s="66">
        <v>0.61119999999999997</v>
      </c>
      <c r="N47" s="66">
        <v>217</v>
      </c>
      <c r="O47" s="66"/>
      <c r="P47" s="67">
        <v>64.063999999999993</v>
      </c>
      <c r="Q47" s="66">
        <v>430.75</v>
      </c>
      <c r="R47" s="66">
        <v>7884</v>
      </c>
      <c r="S47" s="66">
        <v>1.26</v>
      </c>
      <c r="T47" s="51"/>
    </row>
    <row r="48" spans="1:20" x14ac:dyDescent="0.2">
      <c r="A48" s="313"/>
      <c r="C48" s="81" t="s">
        <v>81</v>
      </c>
      <c r="I48" s="85"/>
      <c r="J48" s="86"/>
      <c r="K48" s="87"/>
      <c r="L48" s="87"/>
      <c r="M48" s="87"/>
      <c r="N48" s="87"/>
      <c r="O48" s="87"/>
      <c r="P48" s="88"/>
      <c r="Q48" s="87"/>
      <c r="R48" s="87"/>
      <c r="S48" s="87"/>
      <c r="T48" s="89"/>
    </row>
    <row r="49" spans="1:20" ht="16" thickBot="1" x14ac:dyDescent="0.25">
      <c r="J49" s="22"/>
      <c r="K49" s="22"/>
      <c r="Q49" s="23"/>
      <c r="R49" s="23"/>
      <c r="S49" s="23"/>
      <c r="T49" s="23"/>
    </row>
    <row r="50" spans="1:20" ht="20.25" customHeight="1" thickBot="1" x14ac:dyDescent="0.25">
      <c r="A50" s="313" t="s">
        <v>82</v>
      </c>
      <c r="C50" s="314" t="s">
        <v>83</v>
      </c>
      <c r="D50" s="315"/>
      <c r="J50" s="20" t="s">
        <v>16</v>
      </c>
      <c r="K50" s="22"/>
      <c r="Q50" s="23"/>
      <c r="R50" s="23"/>
      <c r="S50" s="23"/>
      <c r="T50" s="23"/>
    </row>
    <row r="51" spans="1:20" ht="16" thickBot="1" x14ac:dyDescent="0.25">
      <c r="A51" s="313"/>
      <c r="C51" s="91">
        <f>Q24</f>
        <v>190.56399999999999</v>
      </c>
      <c r="D51" s="84" t="s">
        <v>273</v>
      </c>
      <c r="J51" s="22"/>
      <c r="K51" s="22"/>
      <c r="Q51" s="23"/>
      <c r="R51" s="23"/>
      <c r="S51" s="23"/>
      <c r="T51" s="23"/>
    </row>
    <row r="52" spans="1:20" x14ac:dyDescent="0.2">
      <c r="A52" s="313"/>
      <c r="J52" s="22"/>
      <c r="K52" s="22"/>
      <c r="Q52" s="23"/>
      <c r="R52" s="23"/>
      <c r="S52" s="23"/>
      <c r="T52" s="23"/>
    </row>
    <row r="53" spans="1:20" x14ac:dyDescent="0.2">
      <c r="A53" s="313"/>
      <c r="C53" s="72" t="s">
        <v>56</v>
      </c>
      <c r="J53" s="22"/>
      <c r="K53" s="22"/>
      <c r="Q53" s="23"/>
      <c r="R53" s="23"/>
      <c r="S53" s="23"/>
      <c r="T53" s="23"/>
    </row>
    <row r="54" spans="1:20" x14ac:dyDescent="0.2">
      <c r="A54" s="313"/>
      <c r="C54" s="284" t="s">
        <v>340</v>
      </c>
      <c r="D54" s="285"/>
      <c r="J54" s="22"/>
      <c r="K54" s="22"/>
      <c r="Q54" s="23"/>
      <c r="R54" s="23"/>
      <c r="S54" s="23"/>
      <c r="T54" s="23"/>
    </row>
    <row r="55" spans="1:20" x14ac:dyDescent="0.2">
      <c r="A55" s="313"/>
      <c r="J55" s="22"/>
      <c r="K55" s="22"/>
      <c r="Q55" s="23"/>
      <c r="R55" s="23"/>
      <c r="S55" s="23"/>
      <c r="T55" s="23"/>
    </row>
    <row r="56" spans="1:20" x14ac:dyDescent="0.2">
      <c r="A56" s="313"/>
      <c r="C56" s="92" t="s">
        <v>84</v>
      </c>
      <c r="D56" s="92"/>
      <c r="Q56" s="23"/>
      <c r="R56" s="23"/>
      <c r="S56" s="23"/>
      <c r="T56" s="23"/>
    </row>
    <row r="57" spans="1:20" ht="16" thickBot="1" x14ac:dyDescent="0.25">
      <c r="A57" s="313"/>
      <c r="J57" s="22"/>
      <c r="K57" s="22"/>
      <c r="Q57" s="23"/>
      <c r="R57" s="23"/>
      <c r="S57" s="23"/>
      <c r="T57" s="23"/>
    </row>
    <row r="58" spans="1:20" x14ac:dyDescent="0.2">
      <c r="A58" s="313"/>
      <c r="C58" s="308" t="s">
        <v>85</v>
      </c>
      <c r="D58" s="309"/>
      <c r="J58" s="22"/>
      <c r="K58" s="22"/>
      <c r="Q58" s="23"/>
      <c r="R58" s="23"/>
      <c r="S58" s="23"/>
    </row>
    <row r="59" spans="1:20" x14ac:dyDescent="0.2">
      <c r="A59" s="313"/>
      <c r="C59" s="74"/>
      <c r="D59" s="75"/>
      <c r="J59" s="22"/>
      <c r="K59" s="22"/>
      <c r="Q59" s="23"/>
      <c r="R59" s="23"/>
      <c r="S59" s="23"/>
    </row>
    <row r="60" spans="1:20" ht="16" thickBot="1" x14ac:dyDescent="0.25">
      <c r="A60" s="313"/>
      <c r="C60" s="58" t="s">
        <v>272</v>
      </c>
      <c r="D60" s="76"/>
      <c r="J60" s="22"/>
      <c r="K60" s="22"/>
      <c r="Q60" s="23"/>
      <c r="R60" s="23"/>
      <c r="S60" s="23"/>
    </row>
    <row r="61" spans="1:20" x14ac:dyDescent="0.2">
      <c r="A61" s="313"/>
      <c r="J61" s="22"/>
      <c r="K61" s="22"/>
      <c r="Q61" s="23"/>
      <c r="R61" s="23"/>
      <c r="S61" s="23"/>
    </row>
    <row r="62" spans="1:20" ht="16" x14ac:dyDescent="0.2">
      <c r="A62" s="313"/>
      <c r="C62" s="77" t="s">
        <v>86</v>
      </c>
      <c r="D62" s="93">
        <f>IF(D60="",C51,D60)</f>
        <v>190.56399999999999</v>
      </c>
      <c r="E62" s="79" t="s">
        <v>273</v>
      </c>
      <c r="F62" s="72" t="str">
        <f>IF(D60="","     (from menu selection)","     (manual entry)")</f>
        <v xml:space="preserve">     (from menu selection)</v>
      </c>
      <c r="J62" s="22"/>
      <c r="K62" s="22"/>
      <c r="Q62" s="23"/>
      <c r="R62" s="23"/>
      <c r="S62" s="23"/>
    </row>
    <row r="63" spans="1:20" x14ac:dyDescent="0.2">
      <c r="A63" s="313"/>
      <c r="C63" s="81" t="s">
        <v>87</v>
      </c>
      <c r="J63" s="22"/>
      <c r="K63" s="22"/>
      <c r="Q63" s="23"/>
      <c r="R63" s="23"/>
      <c r="S63" s="23"/>
    </row>
    <row r="64" spans="1:20" ht="21.75" customHeight="1" thickBot="1" x14ac:dyDescent="0.25">
      <c r="J64" s="22"/>
      <c r="K64" s="22"/>
      <c r="Q64" s="23"/>
      <c r="R64" s="23"/>
      <c r="S64" s="23"/>
    </row>
    <row r="65" spans="1:19" ht="16" thickBot="1" x14ac:dyDescent="0.25">
      <c r="A65" s="313" t="s">
        <v>88</v>
      </c>
      <c r="C65" s="314" t="s">
        <v>89</v>
      </c>
      <c r="D65" s="315"/>
      <c r="J65" s="22"/>
      <c r="K65" s="22"/>
      <c r="Q65" s="23"/>
      <c r="R65" s="23"/>
      <c r="S65" s="23"/>
    </row>
    <row r="66" spans="1:19" ht="16" thickBot="1" x14ac:dyDescent="0.25">
      <c r="A66" s="313"/>
      <c r="C66" s="273">
        <f>R24</f>
        <v>4599</v>
      </c>
      <c r="D66" s="84" t="s">
        <v>274</v>
      </c>
      <c r="J66" s="22"/>
      <c r="K66" s="22"/>
      <c r="Q66" s="23"/>
      <c r="R66" s="23"/>
      <c r="S66" s="23"/>
    </row>
    <row r="67" spans="1:19" x14ac:dyDescent="0.2">
      <c r="A67" s="313"/>
      <c r="Q67" s="23"/>
      <c r="R67" s="23"/>
      <c r="S67" s="23"/>
    </row>
    <row r="68" spans="1:19" x14ac:dyDescent="0.2">
      <c r="A68" s="313"/>
      <c r="C68" s="72" t="s">
        <v>56</v>
      </c>
      <c r="J68" s="22"/>
      <c r="K68" s="22"/>
      <c r="Q68" s="23"/>
      <c r="R68" s="23"/>
      <c r="S68" s="23"/>
    </row>
    <row r="69" spans="1:19" x14ac:dyDescent="0.2">
      <c r="A69" s="313"/>
      <c r="C69" s="72" t="s">
        <v>341</v>
      </c>
      <c r="J69" s="22"/>
      <c r="K69" s="22"/>
      <c r="Q69" s="23"/>
      <c r="R69" s="23"/>
      <c r="S69" s="23"/>
    </row>
    <row r="70" spans="1:19" x14ac:dyDescent="0.2">
      <c r="A70" s="313"/>
      <c r="J70" s="22"/>
      <c r="K70" s="22"/>
      <c r="Q70" s="23"/>
      <c r="R70" s="23"/>
      <c r="S70" s="23"/>
    </row>
    <row r="71" spans="1:19" x14ac:dyDescent="0.2">
      <c r="A71" s="313"/>
      <c r="C71" s="92" t="s">
        <v>91</v>
      </c>
      <c r="D71" s="92"/>
      <c r="J71" s="22"/>
      <c r="K71" s="22"/>
      <c r="Q71" s="23"/>
      <c r="R71" s="23"/>
      <c r="S71" s="23"/>
    </row>
    <row r="72" spans="1:19" ht="16" thickBot="1" x14ac:dyDescent="0.25">
      <c r="A72" s="313"/>
      <c r="J72" s="22"/>
      <c r="K72" s="22"/>
      <c r="Q72" s="23"/>
      <c r="R72" s="23"/>
      <c r="S72" s="23"/>
    </row>
    <row r="73" spans="1:19" x14ac:dyDescent="0.2">
      <c r="A73" s="313"/>
      <c r="C73" s="308" t="s">
        <v>92</v>
      </c>
      <c r="D73" s="309"/>
      <c r="J73" s="22"/>
      <c r="K73" s="22"/>
      <c r="Q73" s="23"/>
      <c r="R73" s="23"/>
      <c r="S73" s="23"/>
    </row>
    <row r="74" spans="1:19" x14ac:dyDescent="0.2">
      <c r="A74" s="313"/>
      <c r="C74" s="74"/>
      <c r="D74" s="75"/>
      <c r="J74" s="22"/>
      <c r="K74" s="22"/>
      <c r="Q74" s="23"/>
      <c r="R74" s="23"/>
      <c r="S74" s="23"/>
    </row>
    <row r="75" spans="1:19" ht="16" thickBot="1" x14ac:dyDescent="0.25">
      <c r="A75" s="313"/>
      <c r="C75" s="58" t="s">
        <v>275</v>
      </c>
      <c r="D75" s="76"/>
      <c r="J75" s="22"/>
      <c r="K75" s="22"/>
      <c r="Q75" s="23"/>
      <c r="R75" s="23"/>
      <c r="S75" s="23"/>
    </row>
    <row r="76" spans="1:19" x14ac:dyDescent="0.2">
      <c r="A76" s="313"/>
      <c r="J76" s="22"/>
      <c r="K76" s="22"/>
      <c r="Q76" s="23"/>
      <c r="R76" s="23"/>
      <c r="S76" s="23"/>
    </row>
    <row r="77" spans="1:19" ht="16" x14ac:dyDescent="0.2">
      <c r="A77" s="313"/>
      <c r="C77" s="77" t="s">
        <v>93</v>
      </c>
      <c r="D77" s="272">
        <f>IF(D75="",C66,D75)</f>
        <v>4599</v>
      </c>
      <c r="E77" s="79" t="s">
        <v>274</v>
      </c>
      <c r="F77" s="72" t="str">
        <f>IF(D75="","     (from menu selection)","     (manual entry)")</f>
        <v xml:space="preserve">     (from menu selection)</v>
      </c>
      <c r="J77" s="22"/>
      <c r="K77" s="22"/>
      <c r="Q77" s="23"/>
      <c r="R77" s="23"/>
      <c r="S77" s="23"/>
    </row>
    <row r="78" spans="1:19" x14ac:dyDescent="0.2">
      <c r="A78" s="313"/>
      <c r="C78" s="81" t="s">
        <v>94</v>
      </c>
      <c r="J78" s="22"/>
      <c r="K78" s="22"/>
      <c r="Q78" s="23"/>
      <c r="R78" s="23"/>
      <c r="S78" s="23"/>
    </row>
    <row r="79" spans="1:19" ht="21.75" customHeight="1" thickBot="1" x14ac:dyDescent="0.25">
      <c r="J79" s="22"/>
      <c r="K79" s="22"/>
      <c r="Q79" s="23"/>
      <c r="R79" s="23"/>
      <c r="S79" s="23"/>
    </row>
    <row r="80" spans="1:19" ht="16" thickBot="1" x14ac:dyDescent="0.25">
      <c r="A80" s="313" t="s">
        <v>95</v>
      </c>
      <c r="C80" s="314" t="s">
        <v>96</v>
      </c>
      <c r="D80" s="315"/>
      <c r="J80" s="22"/>
      <c r="K80" s="22"/>
      <c r="Q80" s="23"/>
      <c r="R80" s="23"/>
      <c r="S80" s="23"/>
    </row>
    <row r="81" spans="1:19" ht="16" thickBot="1" x14ac:dyDescent="0.25">
      <c r="A81" s="313"/>
      <c r="C81" s="237">
        <f>S24</f>
        <v>1.32</v>
      </c>
      <c r="D81" s="84"/>
      <c r="J81" s="22"/>
      <c r="K81" s="22"/>
      <c r="Q81" s="23"/>
      <c r="R81" s="23"/>
      <c r="S81" s="23"/>
    </row>
    <row r="82" spans="1:19" x14ac:dyDescent="0.2">
      <c r="A82" s="313"/>
      <c r="J82" s="22"/>
      <c r="K82" s="22"/>
      <c r="Q82" s="23"/>
      <c r="R82" s="23"/>
      <c r="S82" s="23"/>
    </row>
    <row r="83" spans="1:19" x14ac:dyDescent="0.2">
      <c r="A83" s="313"/>
      <c r="C83" s="72" t="s">
        <v>56</v>
      </c>
      <c r="J83" s="22"/>
      <c r="K83" s="22"/>
      <c r="Q83" s="23"/>
      <c r="R83" s="23"/>
      <c r="S83" s="23"/>
    </row>
    <row r="84" spans="1:19" x14ac:dyDescent="0.2">
      <c r="A84" s="313"/>
      <c r="C84" s="284" t="s">
        <v>342</v>
      </c>
      <c r="D84" s="285"/>
      <c r="J84" s="22"/>
      <c r="K84" s="22"/>
      <c r="Q84" s="23"/>
      <c r="R84" s="23"/>
      <c r="S84" s="23"/>
    </row>
    <row r="85" spans="1:19" x14ac:dyDescent="0.2">
      <c r="A85" s="313"/>
      <c r="J85" s="22"/>
      <c r="K85" s="22"/>
      <c r="Q85" s="23"/>
      <c r="R85" s="23"/>
      <c r="S85" s="23"/>
    </row>
    <row r="86" spans="1:19" x14ac:dyDescent="0.2">
      <c r="A86" s="313"/>
      <c r="C86" s="92" t="s">
        <v>97</v>
      </c>
      <c r="D86" s="92"/>
      <c r="J86" s="22"/>
      <c r="K86" s="22"/>
      <c r="Q86" s="23"/>
      <c r="R86" s="23"/>
      <c r="S86" s="23"/>
    </row>
    <row r="87" spans="1:19" ht="16" thickBot="1" x14ac:dyDescent="0.25">
      <c r="A87" s="313"/>
      <c r="K87" s="94"/>
      <c r="L87" s="94"/>
      <c r="Q87" s="23"/>
      <c r="R87" s="23"/>
      <c r="S87" s="23"/>
    </row>
    <row r="88" spans="1:19" x14ac:dyDescent="0.2">
      <c r="A88" s="313"/>
      <c r="C88" s="308" t="s">
        <v>98</v>
      </c>
      <c r="D88" s="309"/>
      <c r="Q88" s="23"/>
      <c r="R88" s="23"/>
      <c r="S88" s="23"/>
    </row>
    <row r="89" spans="1:19" x14ac:dyDescent="0.2">
      <c r="A89" s="313"/>
      <c r="C89" s="74"/>
      <c r="D89" s="75"/>
      <c r="J89" s="22"/>
      <c r="K89" s="22"/>
      <c r="Q89" s="23"/>
      <c r="R89" s="23"/>
      <c r="S89" s="23"/>
    </row>
    <row r="90" spans="1:19" ht="16" thickBot="1" x14ac:dyDescent="0.25">
      <c r="A90" s="313"/>
      <c r="C90" s="58" t="s">
        <v>99</v>
      </c>
      <c r="D90" s="76"/>
      <c r="J90" s="22"/>
      <c r="K90" s="22"/>
      <c r="Q90" s="23"/>
      <c r="R90" s="23"/>
      <c r="S90" s="23"/>
    </row>
    <row r="91" spans="1:19" ht="16" thickBot="1" x14ac:dyDescent="0.25">
      <c r="A91" s="313"/>
      <c r="J91" s="22"/>
      <c r="K91" s="22"/>
      <c r="Q91" s="23"/>
      <c r="R91" s="23"/>
      <c r="S91" s="23"/>
    </row>
    <row r="92" spans="1:19" ht="16" x14ac:dyDescent="0.2">
      <c r="A92" s="313"/>
      <c r="C92" s="77" t="s">
        <v>100</v>
      </c>
      <c r="D92" s="93">
        <f>IF(D90="",C81,D90)</f>
        <v>1.32</v>
      </c>
      <c r="E92" s="79"/>
      <c r="F92" s="72" t="str">
        <f>IF(D90="","     (from menu selection)","     (manual entry)")</f>
        <v xml:space="preserve">     (from menu selection)</v>
      </c>
      <c r="J92" s="95"/>
      <c r="K92" s="96"/>
      <c r="L92" s="97"/>
      <c r="M92" s="97"/>
      <c r="N92" s="97"/>
      <c r="O92" s="97"/>
      <c r="P92" s="97"/>
      <c r="Q92" s="98"/>
      <c r="R92" s="99"/>
      <c r="S92" s="23"/>
    </row>
    <row r="93" spans="1:19" ht="16" x14ac:dyDescent="0.2">
      <c r="A93" s="313"/>
      <c r="C93" s="81" t="s">
        <v>101</v>
      </c>
      <c r="J93" s="101" t="s">
        <v>104</v>
      </c>
      <c r="K93" s="102"/>
      <c r="L93" s="103"/>
      <c r="M93" s="102"/>
      <c r="N93" s="103"/>
      <c r="O93" s="103"/>
      <c r="P93" s="102"/>
      <c r="Q93" s="104"/>
      <c r="R93" s="105"/>
      <c r="S93" s="23"/>
    </row>
    <row r="94" spans="1:19" x14ac:dyDescent="0.2">
      <c r="J94" s="317" t="s">
        <v>343</v>
      </c>
      <c r="K94" s="318"/>
      <c r="L94" s="318"/>
      <c r="M94" s="318"/>
      <c r="N94" s="318"/>
      <c r="O94" s="318"/>
      <c r="P94" s="318"/>
      <c r="Q94" s="318"/>
      <c r="R94" s="105"/>
      <c r="S94" s="23"/>
    </row>
    <row r="95" spans="1:19" ht="15.75" customHeight="1" x14ac:dyDescent="0.2">
      <c r="A95" s="313" t="s">
        <v>102</v>
      </c>
      <c r="C95" s="100" t="s">
        <v>103</v>
      </c>
      <c r="J95" s="107"/>
      <c r="K95" s="103"/>
      <c r="L95" s="102"/>
      <c r="M95" s="102"/>
      <c r="N95" s="103"/>
      <c r="O95" s="102"/>
      <c r="P95" s="102"/>
      <c r="Q95" s="104"/>
      <c r="R95" s="105"/>
      <c r="S95" s="23"/>
    </row>
    <row r="96" spans="1:19" ht="18" x14ac:dyDescent="0.25">
      <c r="A96" s="313"/>
      <c r="C96" s="106" t="s">
        <v>105</v>
      </c>
      <c r="J96" s="101" t="s">
        <v>106</v>
      </c>
      <c r="K96" s="102"/>
      <c r="L96" s="102"/>
      <c r="M96" s="102"/>
      <c r="N96" s="102"/>
      <c r="O96" s="102"/>
      <c r="P96" s="102"/>
      <c r="Q96" s="104"/>
      <c r="R96" s="105"/>
      <c r="S96" s="23"/>
    </row>
    <row r="97" spans="1:19" ht="16" thickBot="1" x14ac:dyDescent="0.25">
      <c r="A97" s="313"/>
      <c r="J97" s="101" t="s">
        <v>109</v>
      </c>
      <c r="K97" s="118"/>
      <c r="L97" s="102"/>
      <c r="M97" s="102"/>
      <c r="N97" s="119"/>
      <c r="O97" s="102"/>
      <c r="P97" s="102"/>
      <c r="Q97" s="104"/>
      <c r="R97" s="105"/>
      <c r="S97" s="23"/>
    </row>
    <row r="98" spans="1:19" ht="16" thickBot="1" x14ac:dyDescent="0.25">
      <c r="A98" s="313"/>
      <c r="C98" s="108"/>
      <c r="D98" s="109"/>
      <c r="E98" s="110"/>
      <c r="F98" s="111"/>
      <c r="G98" s="109"/>
      <c r="H98" s="112"/>
      <c r="J98" s="107" t="s">
        <v>110</v>
      </c>
      <c r="K98" s="118"/>
      <c r="L98" s="102"/>
      <c r="M98" s="102"/>
      <c r="N98" s="102"/>
      <c r="O98" s="102"/>
      <c r="P98" s="102"/>
      <c r="Q98" s="104"/>
      <c r="R98" s="105"/>
      <c r="S98" s="23"/>
    </row>
    <row r="99" spans="1:19" ht="20" thickBot="1" x14ac:dyDescent="0.3">
      <c r="A99" s="313"/>
      <c r="C99" s="113" t="s">
        <v>107</v>
      </c>
      <c r="D99" s="114" t="str">
        <f>IF((D15/CriticalPressure)&lt;(D14+459.67)/(2*CriticalTemperature),"YES","NO")</f>
        <v>YES</v>
      </c>
      <c r="E99" s="115" t="s">
        <v>108</v>
      </c>
      <c r="F99" s="116"/>
      <c r="G99" s="116"/>
      <c r="H99" s="117"/>
      <c r="J99" s="107" t="s">
        <v>111</v>
      </c>
      <c r="K99" s="118"/>
      <c r="L99" s="102"/>
      <c r="M99" s="102"/>
      <c r="N99" s="102"/>
      <c r="O99" s="102"/>
      <c r="P99" s="102"/>
      <c r="Q99" s="104"/>
      <c r="R99" s="105"/>
      <c r="S99" s="23"/>
    </row>
    <row r="100" spans="1:19" ht="19" x14ac:dyDescent="0.25">
      <c r="A100" s="313"/>
      <c r="C100" s="120"/>
      <c r="D100" s="116"/>
      <c r="E100" s="115" t="s">
        <v>353</v>
      </c>
      <c r="F100" s="116"/>
      <c r="G100" s="116"/>
      <c r="H100" s="117"/>
      <c r="J100" s="107" t="s">
        <v>114</v>
      </c>
      <c r="K100" s="118"/>
      <c r="L100" s="102"/>
      <c r="M100" s="102"/>
      <c r="N100" s="102"/>
      <c r="O100" s="102"/>
      <c r="P100" s="102"/>
      <c r="Q100" s="104"/>
      <c r="R100" s="105"/>
      <c r="S100" s="23"/>
    </row>
    <row r="101" spans="1:19" ht="16" thickBot="1" x14ac:dyDescent="0.25">
      <c r="A101" s="313"/>
      <c r="C101" s="121"/>
      <c r="D101" s="122"/>
      <c r="E101" s="123"/>
      <c r="F101" s="124"/>
      <c r="G101" s="122"/>
      <c r="H101" s="125"/>
      <c r="J101" s="132" t="s">
        <v>117</v>
      </c>
      <c r="K101" s="118"/>
      <c r="L101" s="102"/>
      <c r="M101" s="102"/>
      <c r="N101" s="102"/>
      <c r="O101" s="102"/>
      <c r="P101" s="102"/>
      <c r="Q101" s="104"/>
      <c r="R101" s="105"/>
      <c r="S101" s="23"/>
    </row>
    <row r="102" spans="1:19" ht="16" x14ac:dyDescent="0.2">
      <c r="A102" s="313"/>
      <c r="C102" s="29" t="s">
        <v>112</v>
      </c>
      <c r="D102" s="126">
        <f>(GasTemperature+273.15)/CriticalTemperature</f>
        <v>1.5750613966961231</v>
      </c>
      <c r="E102" s="26" t="s">
        <v>113</v>
      </c>
      <c r="F102" s="26"/>
      <c r="G102" s="127">
        <f>D104*D105</f>
        <v>1.7000208230980488E-4</v>
      </c>
      <c r="H102" s="128"/>
      <c r="J102" s="107" t="s">
        <v>120</v>
      </c>
      <c r="K102" s="118"/>
      <c r="L102" s="102"/>
      <c r="M102" s="135"/>
      <c r="N102" s="102"/>
      <c r="O102" s="102"/>
      <c r="P102" s="102"/>
      <c r="Q102" s="104"/>
      <c r="R102" s="105"/>
      <c r="S102" s="23"/>
    </row>
    <row r="103" spans="1:19" ht="16" x14ac:dyDescent="0.2">
      <c r="A103" s="313"/>
      <c r="C103" s="29" t="s">
        <v>115</v>
      </c>
      <c r="D103" s="129">
        <f>GasPressure/CriticalPressure</f>
        <v>0.15003261578604044</v>
      </c>
      <c r="E103" s="26" t="s">
        <v>116</v>
      </c>
      <c r="F103" s="26"/>
      <c r="G103" s="130">
        <f>(D105^2)+D105-D104</f>
        <v>-1.2278058125852063E-2</v>
      </c>
      <c r="H103" s="131"/>
      <c r="J103" s="107" t="s">
        <v>123</v>
      </c>
      <c r="K103" s="118"/>
      <c r="L103" s="102"/>
      <c r="M103" s="135" t="s">
        <v>124</v>
      </c>
      <c r="N103" s="102"/>
      <c r="O103" s="102"/>
      <c r="P103" s="102"/>
      <c r="Q103" s="104"/>
      <c r="R103" s="105"/>
    </row>
    <row r="104" spans="1:19" ht="17" thickBot="1" x14ac:dyDescent="0.25">
      <c r="A104" s="313"/>
      <c r="C104" s="29" t="s">
        <v>118</v>
      </c>
      <c r="D104" s="133">
        <f>0.42747*D103/(D102^2.5)</f>
        <v>2.0599069536810601E-2</v>
      </c>
      <c r="E104" s="26" t="s">
        <v>119</v>
      </c>
      <c r="F104" s="134"/>
      <c r="G104" s="130">
        <f>(-(3*G103)-1)/3</f>
        <v>-0.32105527520748128</v>
      </c>
      <c r="H104" s="128"/>
      <c r="J104" s="139"/>
      <c r="K104" s="140"/>
      <c r="L104" s="141"/>
      <c r="M104" s="141"/>
      <c r="N104" s="141"/>
      <c r="O104" s="141"/>
      <c r="P104" s="141"/>
      <c r="Q104" s="142"/>
      <c r="R104" s="143"/>
    </row>
    <row r="105" spans="1:19" x14ac:dyDescent="0.2">
      <c r="A105" s="313"/>
      <c r="C105" s="29" t="s">
        <v>121</v>
      </c>
      <c r="D105" s="133">
        <f>0.08664*D103/(D102)</f>
        <v>8.2529010354574824E-3</v>
      </c>
      <c r="E105" s="26" t="s">
        <v>122</v>
      </c>
      <c r="F105" s="134"/>
      <c r="G105" s="130">
        <f>(-(27*G102)-(9*G103)-2)/27</f>
        <v>-7.0151390114433193E-2</v>
      </c>
      <c r="H105" s="131"/>
      <c r="J105" s="95"/>
      <c r="K105" s="96"/>
      <c r="L105" s="97"/>
      <c r="M105" s="97"/>
      <c r="N105" s="97"/>
      <c r="O105" s="97"/>
      <c r="P105" s="97"/>
      <c r="Q105" s="98"/>
      <c r="R105" s="99"/>
    </row>
    <row r="106" spans="1:19" ht="16" x14ac:dyDescent="0.2">
      <c r="A106" s="313"/>
      <c r="C106" s="136"/>
      <c r="D106" s="134"/>
      <c r="E106" s="137" t="s">
        <v>125</v>
      </c>
      <c r="F106" s="137"/>
      <c r="G106" s="130">
        <f>((G104/3)^3)+((G105/2)^2)</f>
        <v>4.6284289160418001E-6</v>
      </c>
      <c r="H106" s="138"/>
      <c r="J106" s="107" t="s">
        <v>240</v>
      </c>
      <c r="K106" s="102"/>
      <c r="L106" s="103"/>
      <c r="M106" s="102"/>
      <c r="N106" s="103"/>
      <c r="O106" s="103"/>
      <c r="P106" s="102"/>
      <c r="Q106" s="104"/>
      <c r="R106" s="105"/>
    </row>
    <row r="107" spans="1:19" ht="17" thickBot="1" x14ac:dyDescent="0.25">
      <c r="A107" s="313"/>
      <c r="C107" s="136"/>
      <c r="D107" s="134"/>
      <c r="E107" s="144"/>
      <c r="F107" s="145"/>
      <c r="G107" s="134"/>
      <c r="H107" s="131"/>
      <c r="J107" s="107" t="s">
        <v>127</v>
      </c>
      <c r="K107" s="103"/>
      <c r="L107" s="102"/>
      <c r="M107" s="102"/>
      <c r="N107" s="103"/>
      <c r="O107" s="102"/>
      <c r="P107" s="102"/>
      <c r="Q107" s="104"/>
      <c r="R107" s="105"/>
    </row>
    <row r="108" spans="1:19" ht="17" thickBot="1" x14ac:dyDescent="0.25">
      <c r="A108" s="313"/>
      <c r="C108" s="29"/>
      <c r="D108" s="146"/>
      <c r="E108" s="26" t="s">
        <v>126</v>
      </c>
      <c r="F108" s="319">
        <f>IF(G106&gt;0,(((-G105/2)+(G106^0.5))^(1/3))+(((-G105/2)-(G106^0.5))^(1/3))+(1/3),MAX(G110:G112))</f>
        <v>0.98774383992281956</v>
      </c>
      <c r="G108" s="320"/>
      <c r="H108" s="128"/>
      <c r="J108" s="101" t="s">
        <v>129</v>
      </c>
      <c r="K108" s="102"/>
      <c r="L108" s="102"/>
      <c r="M108" s="102"/>
      <c r="N108" s="102"/>
      <c r="O108" s="102"/>
      <c r="P108" s="102"/>
      <c r="Q108" s="104"/>
      <c r="R108" s="105"/>
    </row>
    <row r="109" spans="1:19" x14ac:dyDescent="0.2">
      <c r="A109" s="313"/>
      <c r="C109" s="29"/>
      <c r="D109" s="134"/>
      <c r="E109" s="26"/>
      <c r="F109" s="134"/>
      <c r="G109" s="134"/>
      <c r="H109" s="131"/>
      <c r="J109" s="101"/>
      <c r="K109" s="118"/>
      <c r="L109" s="102"/>
      <c r="M109" s="102"/>
      <c r="N109" s="119"/>
      <c r="O109" s="102"/>
      <c r="P109" s="102"/>
      <c r="Q109" s="104"/>
      <c r="R109" s="105"/>
    </row>
    <row r="110" spans="1:19" ht="16" x14ac:dyDescent="0.2">
      <c r="A110" s="313"/>
      <c r="C110" s="29"/>
      <c r="D110" s="134"/>
      <c r="E110" s="26"/>
      <c r="F110" s="26" t="s">
        <v>128</v>
      </c>
      <c r="G110" s="129" t="str">
        <f>IF(G106&gt;0,"",(1/3)+(2*((-G$104/3)^0.5)*COS((D$111/3)+(2*PI()*0/3))))</f>
        <v/>
      </c>
      <c r="H110" s="138"/>
      <c r="J110" s="107" t="s">
        <v>133</v>
      </c>
      <c r="K110" s="118"/>
      <c r="L110" s="102"/>
      <c r="M110" s="102"/>
      <c r="N110" s="102"/>
      <c r="O110" s="102"/>
      <c r="P110" s="102"/>
      <c r="Q110" s="104"/>
      <c r="R110" s="105"/>
    </row>
    <row r="111" spans="1:19" ht="16" x14ac:dyDescent="0.2">
      <c r="A111" s="313"/>
      <c r="C111" s="29" t="s">
        <v>130</v>
      </c>
      <c r="D111" s="147" t="str">
        <f>IF(G106&gt;0,"",ACOS((((G105^2)/4)/((-(G104^3))/27))^0.5))</f>
        <v/>
      </c>
      <c r="E111" s="26"/>
      <c r="F111" s="26" t="s">
        <v>131</v>
      </c>
      <c r="G111" s="129" t="str">
        <f>IF(G106&gt;0,"",(1/3)+(2*((-G$104/3)^0.5)*COS((D$111/3)+(2*PI()*1/3))))</f>
        <v/>
      </c>
      <c r="H111" s="138"/>
      <c r="J111" s="107" t="s">
        <v>134</v>
      </c>
      <c r="K111" s="118"/>
      <c r="L111" s="149" t="s">
        <v>135</v>
      </c>
      <c r="M111" s="102"/>
      <c r="N111" s="102"/>
      <c r="O111" s="102"/>
      <c r="P111" s="102"/>
      <c r="Q111" s="104"/>
      <c r="R111" s="105"/>
    </row>
    <row r="112" spans="1:19" ht="16" x14ac:dyDescent="0.2">
      <c r="A112" s="313"/>
      <c r="C112" s="29"/>
      <c r="D112" s="134"/>
      <c r="E112" s="26"/>
      <c r="F112" s="26" t="s">
        <v>132</v>
      </c>
      <c r="G112" s="129" t="str">
        <f>IF(G106&gt;0,"",(1/3)+(2*((-G$104/3)^0.5)*COS((D$111/3)+(2*PI()*2/3))))</f>
        <v/>
      </c>
      <c r="H112" s="138"/>
      <c r="J112" s="107"/>
      <c r="K112" s="118"/>
      <c r="L112" s="102"/>
      <c r="M112" s="102"/>
      <c r="N112" s="102"/>
      <c r="O112" s="102"/>
      <c r="P112" s="102"/>
      <c r="Q112" s="104"/>
      <c r="R112" s="105"/>
    </row>
    <row r="113" spans="1:19" ht="17" thickBot="1" x14ac:dyDescent="0.25">
      <c r="A113" s="313"/>
      <c r="C113" s="148"/>
      <c r="D113" s="122"/>
      <c r="E113" s="123"/>
      <c r="F113" s="31"/>
      <c r="G113" s="122"/>
      <c r="H113" s="125"/>
      <c r="J113" s="132" t="s">
        <v>136</v>
      </c>
      <c r="K113" s="118"/>
      <c r="L113" s="102"/>
      <c r="M113" s="102"/>
      <c r="N113" s="102"/>
      <c r="O113" s="102"/>
      <c r="P113" s="102"/>
      <c r="Q113" s="104"/>
      <c r="R113" s="105"/>
    </row>
    <row r="114" spans="1:19" ht="16" x14ac:dyDescent="0.2">
      <c r="J114" s="107" t="s">
        <v>137</v>
      </c>
      <c r="K114" s="118"/>
      <c r="L114" s="102"/>
      <c r="M114" s="135"/>
      <c r="N114" s="102"/>
      <c r="O114" s="102"/>
      <c r="P114" s="102"/>
      <c r="Q114" s="104"/>
      <c r="R114" s="105"/>
    </row>
    <row r="115" spans="1:19" x14ac:dyDescent="0.2">
      <c r="J115" s="107"/>
      <c r="K115" s="118"/>
      <c r="L115" s="102"/>
      <c r="M115" s="135"/>
      <c r="N115" s="102"/>
      <c r="O115" s="102"/>
      <c r="P115" s="102"/>
      <c r="Q115" s="104"/>
      <c r="R115" s="105"/>
    </row>
    <row r="116" spans="1:19" ht="16" thickBot="1" x14ac:dyDescent="0.25">
      <c r="J116" s="139"/>
      <c r="K116" s="140"/>
      <c r="L116" s="141"/>
      <c r="M116" s="141"/>
      <c r="N116" s="141"/>
      <c r="O116" s="141"/>
      <c r="P116" s="141"/>
      <c r="Q116" s="142"/>
      <c r="R116" s="143"/>
      <c r="S116" s="23"/>
    </row>
    <row r="117" spans="1:19" x14ac:dyDescent="0.2">
      <c r="S117" s="23"/>
    </row>
    <row r="118" spans="1:19" x14ac:dyDescent="0.2">
      <c r="F118" s="23"/>
      <c r="S118" s="23"/>
    </row>
    <row r="119" spans="1:19" x14ac:dyDescent="0.2">
      <c r="S119" s="23"/>
    </row>
    <row r="120" spans="1:19" x14ac:dyDescent="0.2">
      <c r="S120" s="23"/>
    </row>
    <row r="121" spans="1:19" x14ac:dyDescent="0.2">
      <c r="S121" s="23"/>
    </row>
    <row r="122" spans="1:19" x14ac:dyDescent="0.2">
      <c r="S122" s="23"/>
    </row>
    <row r="123" spans="1:19" x14ac:dyDescent="0.2">
      <c r="S123" s="23"/>
    </row>
    <row r="124" spans="1:19" x14ac:dyDescent="0.2">
      <c r="S124" s="23"/>
    </row>
    <row r="125" spans="1:19" x14ac:dyDescent="0.2">
      <c r="S125" s="23"/>
    </row>
    <row r="126" spans="1:19" x14ac:dyDescent="0.2">
      <c r="S126" s="23"/>
    </row>
    <row r="127" spans="1:19" x14ac:dyDescent="0.2">
      <c r="S127" s="23"/>
    </row>
    <row r="128" spans="1:19" x14ac:dyDescent="0.2">
      <c r="C128" s="20" t="s">
        <v>16</v>
      </c>
      <c r="J128" s="22"/>
      <c r="K128" s="22"/>
      <c r="Q128" s="23"/>
      <c r="R128" s="23"/>
      <c r="S128" s="23"/>
    </row>
    <row r="129" spans="10:19" x14ac:dyDescent="0.2">
      <c r="J129" s="22"/>
      <c r="K129" s="22"/>
      <c r="Q129" s="23"/>
      <c r="R129" s="23"/>
      <c r="S129" s="23"/>
    </row>
    <row r="130" spans="10:19" x14ac:dyDescent="0.2">
      <c r="J130" s="22"/>
      <c r="K130" s="22"/>
      <c r="Q130" s="23"/>
      <c r="R130" s="23"/>
      <c r="S130" s="23"/>
    </row>
    <row r="131" spans="10:19" x14ac:dyDescent="0.2">
      <c r="J131" s="22"/>
      <c r="K131" s="22"/>
      <c r="Q131" s="23"/>
      <c r="R131" s="23"/>
      <c r="S131" s="23"/>
    </row>
    <row r="132" spans="10:19" x14ac:dyDescent="0.2">
      <c r="K132" s="22"/>
      <c r="Q132" s="23"/>
      <c r="R132" s="23"/>
      <c r="S132" s="23"/>
    </row>
    <row r="133" spans="10:19" x14ac:dyDescent="0.2">
      <c r="J133" s="22"/>
      <c r="K133" s="22"/>
      <c r="Q133" s="23"/>
      <c r="R133" s="23"/>
      <c r="S133" s="23"/>
    </row>
    <row r="134" spans="10:19" x14ac:dyDescent="0.2">
      <c r="J134" s="22"/>
      <c r="K134" s="22"/>
      <c r="Q134" s="23"/>
      <c r="R134" s="23"/>
      <c r="S134" s="23"/>
    </row>
    <row r="135" spans="10:19" x14ac:dyDescent="0.2">
      <c r="J135" s="22"/>
      <c r="K135" s="22"/>
      <c r="Q135" s="23"/>
      <c r="R135" s="23"/>
      <c r="S135" s="23"/>
    </row>
    <row r="136" spans="10:19" x14ac:dyDescent="0.2">
      <c r="J136" s="22"/>
      <c r="K136" s="22"/>
      <c r="Q136" s="23"/>
      <c r="R136" s="23"/>
      <c r="S136" s="23"/>
    </row>
    <row r="137" spans="10:19" x14ac:dyDescent="0.2">
      <c r="J137" s="22"/>
      <c r="K137" s="22"/>
      <c r="Q137" s="23"/>
      <c r="R137" s="23"/>
      <c r="S137" s="23"/>
    </row>
    <row r="138" spans="10:19" x14ac:dyDescent="0.2">
      <c r="J138" s="22"/>
      <c r="K138" s="22"/>
      <c r="Q138" s="23"/>
      <c r="R138" s="23"/>
      <c r="S138" s="23"/>
    </row>
    <row r="139" spans="10:19" x14ac:dyDescent="0.2">
      <c r="J139" s="22"/>
      <c r="K139" s="22"/>
      <c r="Q139" s="23"/>
      <c r="R139" s="23"/>
      <c r="S139" s="23"/>
    </row>
    <row r="140" spans="10:19" x14ac:dyDescent="0.2">
      <c r="J140" s="22"/>
      <c r="K140" s="22"/>
      <c r="Q140" s="23"/>
      <c r="R140" s="23"/>
      <c r="S140" s="23"/>
    </row>
    <row r="141" spans="10:19" x14ac:dyDescent="0.2">
      <c r="J141" s="22"/>
      <c r="K141" s="22"/>
      <c r="Q141" s="23"/>
      <c r="R141" s="23"/>
      <c r="S141" s="23"/>
    </row>
    <row r="142" spans="10:19" x14ac:dyDescent="0.2">
      <c r="J142" s="22"/>
      <c r="K142" s="22"/>
      <c r="Q142" s="23"/>
      <c r="R142" s="23"/>
      <c r="S142" s="23"/>
    </row>
    <row r="143" spans="10:19" x14ac:dyDescent="0.2">
      <c r="J143" s="22"/>
      <c r="K143" s="22"/>
      <c r="Q143" s="23"/>
      <c r="R143" s="23"/>
      <c r="S143" s="23"/>
    </row>
    <row r="144" spans="10:19" x14ac:dyDescent="0.2">
      <c r="J144" s="22"/>
      <c r="K144" s="22"/>
      <c r="Q144" s="23"/>
      <c r="R144" s="23"/>
      <c r="S144" s="23"/>
    </row>
    <row r="145" spans="1:19" x14ac:dyDescent="0.2">
      <c r="J145" s="22"/>
      <c r="K145" s="22"/>
      <c r="Q145" s="23"/>
      <c r="R145" s="23"/>
      <c r="S145" s="23"/>
    </row>
    <row r="146" spans="1:19" x14ac:dyDescent="0.2">
      <c r="J146" s="22"/>
      <c r="K146" s="22"/>
      <c r="Q146" s="23"/>
      <c r="R146" s="23"/>
      <c r="S146" s="23"/>
    </row>
    <row r="147" spans="1:19" x14ac:dyDescent="0.2">
      <c r="A147" s="150" t="s">
        <v>138</v>
      </c>
      <c r="B147" s="151"/>
      <c r="J147" s="22"/>
      <c r="K147" s="22"/>
      <c r="Q147" s="23"/>
      <c r="R147" s="23"/>
      <c r="S147" s="23"/>
    </row>
    <row r="148" spans="1:19" x14ac:dyDescent="0.2">
      <c r="J148" s="22"/>
      <c r="K148" s="22"/>
      <c r="Q148" s="23"/>
      <c r="R148" s="23"/>
      <c r="S148" s="23"/>
    </row>
    <row r="149" spans="1:19" ht="16" thickBot="1" x14ac:dyDescent="0.25">
      <c r="J149" s="22"/>
      <c r="K149" s="22"/>
      <c r="Q149" s="23"/>
      <c r="R149" s="23"/>
      <c r="S149" s="23"/>
    </row>
    <row r="150" spans="1:19" x14ac:dyDescent="0.2">
      <c r="A150" s="152"/>
      <c r="B150" s="7"/>
      <c r="C150" s="8"/>
      <c r="J150" s="22"/>
      <c r="K150" s="22"/>
      <c r="Q150" s="23"/>
      <c r="R150" s="23"/>
      <c r="S150" s="23"/>
    </row>
    <row r="151" spans="1:19" x14ac:dyDescent="0.2">
      <c r="A151" s="16" t="s">
        <v>24</v>
      </c>
      <c r="B151" s="3"/>
      <c r="C151" s="4"/>
      <c r="J151" s="22"/>
      <c r="K151" s="22"/>
      <c r="Q151" s="23"/>
      <c r="R151" s="23"/>
      <c r="S151" s="23"/>
    </row>
    <row r="152" spans="1:19" ht="16" thickBot="1" x14ac:dyDescent="0.25">
      <c r="A152" s="11" t="s">
        <v>139</v>
      </c>
      <c r="B152" s="12"/>
      <c r="C152" s="13"/>
      <c r="J152" s="22"/>
      <c r="K152" s="22"/>
      <c r="Q152" s="23"/>
      <c r="R152" s="23"/>
      <c r="S152" s="23"/>
    </row>
  </sheetData>
  <sheetProtection sheet="1" objects="1" scenarios="1" formatCells="0"/>
  <mergeCells count="29">
    <mergeCell ref="A65:A78"/>
    <mergeCell ref="C65:D65"/>
    <mergeCell ref="C73:D73"/>
    <mergeCell ref="J94:Q94"/>
    <mergeCell ref="F108:G108"/>
    <mergeCell ref="A80:A93"/>
    <mergeCell ref="C80:D80"/>
    <mergeCell ref="C88:D88"/>
    <mergeCell ref="A95:A113"/>
    <mergeCell ref="C43:D43"/>
    <mergeCell ref="A50:A63"/>
    <mergeCell ref="C50:D50"/>
    <mergeCell ref="C58:D58"/>
    <mergeCell ref="A35:A48"/>
    <mergeCell ref="C35:D35"/>
    <mergeCell ref="C41:D41"/>
    <mergeCell ref="B2:F2"/>
    <mergeCell ref="B3:F3"/>
    <mergeCell ref="B4:F4"/>
    <mergeCell ref="A6:A33"/>
    <mergeCell ref="J23:S23"/>
    <mergeCell ref="L25:P25"/>
    <mergeCell ref="C26:D26"/>
    <mergeCell ref="C28:D28"/>
    <mergeCell ref="N18:S18"/>
    <mergeCell ref="C10:D10"/>
    <mergeCell ref="E10:G10"/>
    <mergeCell ref="N19:S19"/>
    <mergeCell ref="N20:Q20"/>
  </mergeCells>
  <dataValidations count="5">
    <dataValidation type="list" allowBlank="1" showErrorMessage="1" promptTitle="Liquid Selection" prompt="If your liquid is not listed here or if you have a fluid density calculated from elsewhere, you may instead enter it in the next section, thereby ignoring this selection menu." sqref="D12" xr:uid="{00000000-0002-0000-0100-000000000000}">
      <formula1>$J$27:$J$47</formula1>
    </dataValidation>
    <dataValidation allowBlank="1" showErrorMessage="1" sqref="D16" xr:uid="{00000000-0002-0000-0100-000001000000}"/>
    <dataValidation type="decimal" operator="greaterThan" allowBlank="1" showErrorMessage="1" errorTitle="Invalid Entry" error="Please enter a value greater than 0." promptTitle="Enter density" prompt="This is a pre-calculated fluid density you have obtained from another source. Any value you enter here will override the selections above." sqref="D30" xr:uid="{00000000-0002-0000-0100-000002000000}">
      <formula1>0</formula1>
    </dataValidation>
    <dataValidation type="decimal" operator="greaterThan" allowBlank="1" showErrorMessage="1" errorTitle="Invalid Entry" error="Please enter a numerical value only." promptTitle="Temperature" prompt="Enter the temperature of your liquid. The temperature should generally be within the range of the liquid, as specified above." sqref="D14:D15" xr:uid="{00000000-0002-0000-0100-000003000000}">
      <formula1>-10000</formula1>
    </dataValidation>
    <dataValidation type="decimal" operator="greaterThan" allowBlank="1" showErrorMessage="1" errorTitle="Invalid Entry" error="Please enter a value greater than 0." promptTitle="Enter Viscosity" prompt="This is a pre-calculated fluid viscosity you have obtained from another source. Any value you enter here will override the selection above." sqref="D45 D60 D75 D90" xr:uid="{00000000-0002-0000-0100-000004000000}">
      <formula1>0</formula1>
    </dataValidation>
  </dataValidations>
  <hyperlinks>
    <hyperlink ref="N20" r:id="rId1" location="p200139d89822_427001" display="Table 2-313 in Perry's Chemical Engineers' Handbook, 8th Ed." xr:uid="{00000000-0004-0000-0100-000006000000}"/>
    <hyperlink ref="N20:Q20" r:id="rId2" location="p2000b0d5982E_87001" display="       Table E7.3 in Piping Handbook, 7th Ed." xr:uid="{00000000-0004-0000-0100-000007000000}"/>
    <hyperlink ref="J94:N94" r:id="rId3" location="ch01lev1sec4" display="   Handbook of Chemical Engineering Calculations, 4th Ed, Section 1.4. Redlich-Kwong Equation of State" xr:uid="{00000000-0004-0000-0100-000008000000}"/>
    <hyperlink ref="J94:Q94" r:id="rId4" location="ch01lev1sec4" display="   Handbook of Chemical Engineering Calculations, 4th Ed, Section 1.4. Redlich-Kwong Equation of State" xr:uid="{00000000-0004-0000-0100-000009000000}"/>
    <hyperlink ref="N18" r:id="rId5" location="p200139d89822_427001" display="Table 2-313 in Perry's Chemical Engineers' Handbook, 8th Ed." xr:uid="{F0076CD4-5DF4-486E-8C70-4573EA94D40B}"/>
    <hyperlink ref="N18:R18" r:id="rId6" display="Table 2-312 in Perry's Chemical Engineers' Handbook, 8th Ed." xr:uid="{2E7BBBEA-C888-4CB7-8E4A-BABC0990A68D}"/>
    <hyperlink ref="N18:S18" r:id="rId7" location="ch02table138" display="Table 2-138 in Perry's Chemical Engineers' Handbook, 9th Ed." xr:uid="{2C1399A3-34F4-4249-BF36-C61932B5E3A9}"/>
    <hyperlink ref="N19" r:id="rId8" location="p200139d89822_427001" display="Table 2-313 in Perry's Chemical Engineers' Handbook, 8th Ed." xr:uid="{9F608D50-C64B-4938-988F-2BBF2B3BFBAD}"/>
    <hyperlink ref="N19:R19" r:id="rId9" display="Table 2-312 in Perry's Chemical Engineers' Handbook, 8th Ed." xr:uid="{0A6E776A-523A-4BC0-8B27-C11C45E7B9C1}"/>
    <hyperlink ref="N19:S19" r:id="rId10" location="c9780071834087ch02lev2sec08" display="Table 2-13.2 in Perry's Chemical Engineers' Handbook, 9th Ed." xr:uid="{9058E7FE-E58E-4521-9810-647061E9F618}"/>
  </hyperlinks>
  <pageMargins left="0.7" right="0.7" top="0.75" bottom="0.75" header="0.3" footer="0.3"/>
  <pageSetup orientation="portrait" horizontalDpi="90" verticalDpi="90" r:id="rId11"/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2"/>
  <sheetViews>
    <sheetView showGridLines="0" tabSelected="1" zoomScale="115" zoomScaleNormal="115" workbookViewId="0"/>
  </sheetViews>
  <sheetFormatPr baseColWidth="10" defaultColWidth="8.83203125" defaultRowHeight="15" x14ac:dyDescent="0.2"/>
  <cols>
    <col min="1" max="1" width="7" customWidth="1"/>
    <col min="2" max="2" width="6.33203125" customWidth="1"/>
    <col min="3" max="3" width="20.6640625" customWidth="1"/>
    <col min="4" max="4" width="10.6640625" customWidth="1"/>
    <col min="5" max="5" width="13.33203125" customWidth="1"/>
    <col min="6" max="6" width="25.1640625" customWidth="1"/>
    <col min="7" max="7" width="11.33203125" customWidth="1"/>
    <col min="10" max="10" width="13.83203125" customWidth="1"/>
    <col min="11" max="11" width="12.5" customWidth="1"/>
    <col min="12" max="12" width="13.5" customWidth="1"/>
    <col min="13" max="13" width="13.6640625" customWidth="1"/>
    <col min="14" max="14" width="28.5" customWidth="1"/>
    <col min="15" max="15" width="19.5" customWidth="1"/>
  </cols>
  <sheetData>
    <row r="1" spans="1:15" ht="16" thickBot="1" x14ac:dyDescent="0.25">
      <c r="A1" s="288"/>
    </row>
    <row r="2" spans="1:15" ht="23.25" customHeight="1" x14ac:dyDescent="0.2">
      <c r="C2" s="289" t="s">
        <v>297</v>
      </c>
      <c r="D2" s="290"/>
      <c r="E2" s="290"/>
      <c r="F2" s="290"/>
      <c r="G2" s="290"/>
      <c r="H2" s="291"/>
      <c r="J2" s="153"/>
      <c r="K2" s="154" t="s">
        <v>150</v>
      </c>
      <c r="L2" s="7"/>
      <c r="M2" s="154"/>
      <c r="N2" s="7"/>
      <c r="O2" s="8"/>
    </row>
    <row r="3" spans="1:15" ht="18" x14ac:dyDescent="0.2">
      <c r="C3" s="295" t="s">
        <v>151</v>
      </c>
      <c r="D3" s="296"/>
      <c r="E3" s="296"/>
      <c r="F3" s="296"/>
      <c r="G3" s="296"/>
      <c r="H3" s="297"/>
      <c r="J3" s="155"/>
      <c r="K3" s="156"/>
      <c r="L3" s="3"/>
      <c r="M3" s="3"/>
      <c r="N3" s="3"/>
      <c r="O3" s="4"/>
    </row>
    <row r="4" spans="1:15" ht="16" thickBot="1" x14ac:dyDescent="0.25">
      <c r="C4" s="11"/>
      <c r="D4" s="12"/>
      <c r="E4" s="12"/>
      <c r="F4" s="12"/>
      <c r="G4" s="12"/>
      <c r="H4" s="13"/>
      <c r="J4" s="157" t="s">
        <v>152</v>
      </c>
      <c r="K4" s="156"/>
      <c r="L4" s="3"/>
      <c r="M4" s="3"/>
      <c r="N4" s="3"/>
      <c r="O4" s="4"/>
    </row>
    <row r="5" spans="1:15" ht="16" x14ac:dyDescent="0.2">
      <c r="E5" s="25"/>
      <c r="F5" s="25"/>
      <c r="J5" s="158"/>
      <c r="K5" s="156"/>
      <c r="L5" s="3"/>
      <c r="M5" s="3"/>
      <c r="N5" s="3"/>
      <c r="O5" s="4"/>
    </row>
    <row r="6" spans="1:15" ht="18" customHeight="1" x14ac:dyDescent="0.2">
      <c r="A6" s="301" t="s">
        <v>153</v>
      </c>
      <c r="C6" s="159" t="s">
        <v>154</v>
      </c>
      <c r="E6" s="160"/>
      <c r="F6" t="s">
        <v>155</v>
      </c>
      <c r="J6" s="323" t="s">
        <v>360</v>
      </c>
      <c r="K6" s="324"/>
      <c r="L6" s="324"/>
      <c r="M6" s="324"/>
      <c r="N6" s="324"/>
      <c r="O6" s="4"/>
    </row>
    <row r="7" spans="1:15" ht="17" thickBot="1" x14ac:dyDescent="0.25">
      <c r="A7" s="301"/>
      <c r="E7" s="160"/>
      <c r="J7" s="158"/>
      <c r="K7" s="156"/>
      <c r="L7" s="3"/>
      <c r="M7" s="3"/>
      <c r="N7" s="3"/>
      <c r="O7" s="4"/>
    </row>
    <row r="8" spans="1:15" x14ac:dyDescent="0.2">
      <c r="A8" s="301"/>
      <c r="C8" s="161"/>
      <c r="D8" s="162"/>
      <c r="E8" s="162"/>
      <c r="F8" s="162"/>
      <c r="G8" s="162"/>
      <c r="H8" s="163"/>
      <c r="J8" s="323" t="s">
        <v>361</v>
      </c>
      <c r="K8" s="324"/>
      <c r="L8" s="324"/>
      <c r="M8" s="324"/>
      <c r="N8" s="324"/>
      <c r="O8" s="330"/>
    </row>
    <row r="9" spans="1:15" x14ac:dyDescent="0.2">
      <c r="A9" s="301"/>
      <c r="C9" s="29" t="s">
        <v>156</v>
      </c>
      <c r="D9" s="164">
        <v>150</v>
      </c>
      <c r="E9" s="165" t="s">
        <v>277</v>
      </c>
      <c r="F9" s="145"/>
      <c r="G9" s="166"/>
      <c r="H9" s="131"/>
      <c r="J9" s="158"/>
      <c r="K9" s="156"/>
      <c r="L9" s="3"/>
      <c r="M9" s="3"/>
      <c r="N9" s="3"/>
      <c r="O9" s="4"/>
    </row>
    <row r="10" spans="1:15" x14ac:dyDescent="0.2">
      <c r="A10" s="301"/>
      <c r="C10" s="167" t="s">
        <v>308</v>
      </c>
      <c r="D10" s="26"/>
      <c r="E10" s="26"/>
      <c r="F10" s="26" t="s">
        <v>158</v>
      </c>
      <c r="G10" s="166"/>
      <c r="H10" s="131"/>
      <c r="J10" s="168" t="s">
        <v>159</v>
      </c>
      <c r="K10" s="169"/>
      <c r="L10" s="169"/>
      <c r="M10" s="169"/>
      <c r="N10" s="169"/>
      <c r="O10" s="4"/>
    </row>
    <row r="11" spans="1:15" ht="16" x14ac:dyDescent="0.2">
      <c r="A11" s="301"/>
      <c r="C11" s="29"/>
      <c r="D11" s="166"/>
      <c r="E11" s="144"/>
      <c r="F11" s="137" t="s">
        <v>160</v>
      </c>
      <c r="G11" s="170">
        <v>6.9</v>
      </c>
      <c r="H11" s="171" t="s">
        <v>274</v>
      </c>
      <c r="J11" s="325" t="s">
        <v>310</v>
      </c>
      <c r="K11" s="326"/>
      <c r="L11" s="326"/>
      <c r="M11" s="326"/>
      <c r="N11" s="3"/>
      <c r="O11" s="4"/>
    </row>
    <row r="12" spans="1:15" x14ac:dyDescent="0.2">
      <c r="A12" s="301"/>
      <c r="C12" s="29" t="s">
        <v>161</v>
      </c>
      <c r="D12" s="164">
        <v>50</v>
      </c>
      <c r="E12" s="165" t="s">
        <v>277</v>
      </c>
      <c r="F12" s="145"/>
      <c r="G12" s="166"/>
      <c r="H12" s="131"/>
      <c r="J12" s="158"/>
      <c r="K12" s="156"/>
      <c r="L12" s="3"/>
      <c r="M12" s="3"/>
      <c r="N12" s="3"/>
      <c r="O12" s="4"/>
    </row>
    <row r="13" spans="1:15" x14ac:dyDescent="0.2">
      <c r="A13" s="301"/>
      <c r="C13" s="29"/>
      <c r="D13" s="166"/>
      <c r="E13" s="144"/>
      <c r="F13" s="26"/>
      <c r="G13" s="166"/>
      <c r="H13" s="128"/>
      <c r="J13" s="158"/>
      <c r="K13" s="156"/>
      <c r="L13" s="3"/>
      <c r="M13" s="3"/>
      <c r="N13" s="3"/>
      <c r="O13" s="4"/>
    </row>
    <row r="14" spans="1:15" ht="16" x14ac:dyDescent="0.2">
      <c r="A14" s="301"/>
      <c r="C14" s="173" t="s">
        <v>309</v>
      </c>
      <c r="D14" s="166"/>
      <c r="E14" s="144"/>
      <c r="F14" s="26"/>
      <c r="G14" s="170">
        <v>0</v>
      </c>
      <c r="H14" s="171" t="s">
        <v>276</v>
      </c>
      <c r="J14" s="174"/>
      <c r="K14" s="156"/>
      <c r="L14" s="3"/>
      <c r="M14" s="3"/>
      <c r="N14" s="3"/>
      <c r="O14" s="4"/>
    </row>
    <row r="15" spans="1:15" ht="16" x14ac:dyDescent="0.2">
      <c r="A15" s="301"/>
      <c r="C15" s="175" t="s">
        <v>163</v>
      </c>
      <c r="D15" s="166"/>
      <c r="E15" s="144"/>
      <c r="F15" s="26"/>
      <c r="G15" s="166"/>
      <c r="H15" s="128"/>
      <c r="J15" s="158"/>
      <c r="K15" s="156"/>
      <c r="L15" s="3"/>
      <c r="M15" s="3"/>
      <c r="N15" s="3"/>
      <c r="O15" s="4"/>
    </row>
    <row r="16" spans="1:15" x14ac:dyDescent="0.2">
      <c r="A16" s="301"/>
      <c r="C16" s="176"/>
      <c r="D16" s="166"/>
      <c r="E16" s="144"/>
      <c r="F16" s="26"/>
      <c r="G16" s="166"/>
      <c r="H16" s="128"/>
      <c r="J16" s="158"/>
      <c r="K16" s="156"/>
      <c r="L16" s="3"/>
      <c r="M16" s="3"/>
      <c r="N16" s="3"/>
      <c r="O16" s="4"/>
    </row>
    <row r="17" spans="1:15" ht="19.5" customHeight="1" thickBot="1" x14ac:dyDescent="0.25">
      <c r="A17" s="301"/>
      <c r="C17" s="175" t="s">
        <v>215</v>
      </c>
      <c r="D17" s="166"/>
      <c r="E17" s="144"/>
      <c r="F17" s="144"/>
      <c r="G17" s="166"/>
      <c r="H17" s="128"/>
      <c r="J17" s="158"/>
      <c r="K17" s="156"/>
      <c r="L17" s="3"/>
      <c r="M17" s="3"/>
      <c r="N17" s="3"/>
      <c r="O17" s="4"/>
    </row>
    <row r="18" spans="1:15" ht="18" customHeight="1" thickBot="1" x14ac:dyDescent="0.25">
      <c r="A18" s="301"/>
      <c r="C18" s="178" t="s">
        <v>278</v>
      </c>
      <c r="D18" s="134"/>
      <c r="E18" s="144"/>
      <c r="F18" s="327" t="s">
        <v>164</v>
      </c>
      <c r="G18" s="328"/>
      <c r="H18" s="329"/>
      <c r="J18" s="158"/>
      <c r="K18" s="156"/>
      <c r="L18" s="3"/>
      <c r="M18" s="3"/>
      <c r="N18" s="3"/>
      <c r="O18" s="4"/>
    </row>
    <row r="19" spans="1:15" ht="21.75" customHeight="1" thickBot="1" x14ac:dyDescent="0.25">
      <c r="A19" s="301"/>
      <c r="C19" s="179" t="s">
        <v>346</v>
      </c>
      <c r="D19" s="122"/>
      <c r="E19" s="123"/>
      <c r="F19" s="31"/>
      <c r="G19" s="180"/>
      <c r="H19" s="181"/>
      <c r="J19" s="155"/>
      <c r="K19" s="156"/>
      <c r="L19" s="3"/>
      <c r="M19" s="3"/>
      <c r="N19" s="3"/>
      <c r="O19" s="4"/>
    </row>
    <row r="20" spans="1:15" ht="21" customHeight="1" x14ac:dyDescent="0.2">
      <c r="J20" s="158"/>
      <c r="K20" s="156"/>
      <c r="L20" s="3"/>
      <c r="M20" s="3"/>
      <c r="N20" s="3"/>
      <c r="O20" s="4"/>
    </row>
    <row r="21" spans="1:15" ht="19" thickBot="1" x14ac:dyDescent="0.25">
      <c r="A21" s="313" t="s">
        <v>165</v>
      </c>
      <c r="C21" s="182" t="s">
        <v>38</v>
      </c>
      <c r="J21" s="158"/>
      <c r="K21" s="156"/>
      <c r="L21" s="3"/>
      <c r="M21" s="3"/>
      <c r="N21" s="3"/>
      <c r="O21" s="4"/>
    </row>
    <row r="22" spans="1:15" x14ac:dyDescent="0.2">
      <c r="A22" s="313"/>
      <c r="C22" s="183"/>
      <c r="D22" s="109"/>
      <c r="E22" s="110"/>
      <c r="F22" s="111"/>
      <c r="G22" s="109"/>
      <c r="H22" s="112"/>
      <c r="J22" s="158"/>
      <c r="K22" s="156"/>
      <c r="L22" s="3"/>
      <c r="M22" s="3"/>
      <c r="N22" s="3"/>
      <c r="O22" s="4"/>
    </row>
    <row r="23" spans="1:15" x14ac:dyDescent="0.2">
      <c r="A23" s="313"/>
      <c r="C23" s="29" t="s">
        <v>156</v>
      </c>
      <c r="D23" s="133">
        <f>D9/1000</f>
        <v>0.15</v>
      </c>
      <c r="E23" s="172" t="s">
        <v>279</v>
      </c>
      <c r="F23" s="26" t="s">
        <v>161</v>
      </c>
      <c r="G23" s="133">
        <f>D12/1000</f>
        <v>0.05</v>
      </c>
      <c r="H23" s="128" t="s">
        <v>279</v>
      </c>
      <c r="J23" s="158"/>
      <c r="K23" s="156"/>
      <c r="L23" s="3"/>
      <c r="M23" s="3"/>
      <c r="N23" s="3"/>
      <c r="O23" s="4"/>
    </row>
    <row r="24" spans="1:15" ht="16" x14ac:dyDescent="0.2">
      <c r="A24" s="313"/>
      <c r="C24" s="29" t="s">
        <v>166</v>
      </c>
      <c r="D24" s="274">
        <f>PI()*(D23^2)/4</f>
        <v>1.7671458676442587E-2</v>
      </c>
      <c r="E24" s="187" t="s">
        <v>280</v>
      </c>
      <c r="F24" s="188" t="s">
        <v>167</v>
      </c>
      <c r="G24" s="275">
        <f>PI()*(G23^2)/4</f>
        <v>1.9634954084936209E-3</v>
      </c>
      <c r="H24" s="128" t="s">
        <v>280</v>
      </c>
      <c r="J24" s="157" t="s">
        <v>347</v>
      </c>
      <c r="K24" s="156"/>
      <c r="L24" s="3"/>
      <c r="M24" s="3"/>
      <c r="N24" s="3"/>
      <c r="O24" s="4"/>
    </row>
    <row r="25" spans="1:15" ht="16" x14ac:dyDescent="0.2">
      <c r="A25" s="313"/>
      <c r="C25" s="29" t="s">
        <v>168</v>
      </c>
      <c r="D25" s="186">
        <f>G23/D23</f>
        <v>0.33333333333333337</v>
      </c>
      <c r="E25" s="190"/>
      <c r="F25" s="188" t="s">
        <v>158</v>
      </c>
      <c r="G25" s="189"/>
      <c r="H25" s="131"/>
      <c r="J25" s="240" t="s">
        <v>311</v>
      </c>
      <c r="K25" s="239"/>
      <c r="L25" s="321" t="s">
        <v>362</v>
      </c>
      <c r="M25" s="321"/>
      <c r="N25" s="321"/>
      <c r="O25" s="322"/>
    </row>
    <row r="26" spans="1:15" ht="16" x14ac:dyDescent="0.2">
      <c r="A26" s="313"/>
      <c r="C26" s="29" t="s">
        <v>170</v>
      </c>
      <c r="D26" s="186">
        <f>IF(F18="as cast",0.984,IF(F18="machined",0.995,0.985))</f>
        <v>0.98399999999999999</v>
      </c>
      <c r="E26" s="190"/>
      <c r="F26" s="188" t="s">
        <v>169</v>
      </c>
      <c r="G26" s="192">
        <f>G11*1000</f>
        <v>6900</v>
      </c>
      <c r="H26" s="138" t="s">
        <v>283</v>
      </c>
      <c r="J26" s="158"/>
      <c r="K26" s="156"/>
      <c r="L26" s="3"/>
      <c r="M26" s="3"/>
      <c r="N26" s="3"/>
      <c r="O26" s="4"/>
    </row>
    <row r="27" spans="1:15" ht="16" x14ac:dyDescent="0.2">
      <c r="A27" s="313"/>
      <c r="C27" s="29" t="s">
        <v>205</v>
      </c>
      <c r="D27" s="238">
        <f>GasPressure*MolecularWeight/(CompressibilityFactor*D32*(GasTemperature+273.67))</f>
        <v>4.4826727762250362</v>
      </c>
      <c r="E27" s="187" t="s">
        <v>281</v>
      </c>
      <c r="F27" s="188" t="s">
        <v>221</v>
      </c>
      <c r="G27" s="194">
        <f>(GasPressure-(G26/1000))/GasPressure</f>
        <v>0.99</v>
      </c>
      <c r="H27" s="138"/>
      <c r="J27" s="158"/>
      <c r="K27" s="156"/>
      <c r="L27" s="3"/>
      <c r="M27" s="3"/>
      <c r="N27" s="3"/>
      <c r="O27" s="4"/>
    </row>
    <row r="28" spans="1:15" x14ac:dyDescent="0.2">
      <c r="A28" s="313"/>
      <c r="C28" s="185"/>
      <c r="D28" s="189"/>
      <c r="E28" s="190"/>
      <c r="F28" s="193"/>
      <c r="G28" s="189"/>
      <c r="H28" s="131"/>
      <c r="J28" s="155"/>
      <c r="K28" s="156"/>
      <c r="L28" s="3"/>
      <c r="M28" s="3"/>
      <c r="N28" s="3"/>
      <c r="O28" s="4"/>
    </row>
    <row r="29" spans="1:15" ht="16" x14ac:dyDescent="0.2">
      <c r="A29" s="313"/>
      <c r="C29" s="29" t="s">
        <v>222</v>
      </c>
      <c r="D29" s="186">
        <f>((SpecificHeatRatio*(G27^(2/SpecificHeatRatio))/(SpecificHeatRatio-1))*((1-(D25^4))/(1-(D25^4)*(G27^(2/SpecificHeatRatio))))*((1-(G27^((SpecificHeatRatio-1)/SpecificHeatRatio)))/(1-G27)))^0.5</f>
        <v>0.99420998460203835</v>
      </c>
      <c r="E29" s="190"/>
      <c r="F29" s="188" t="s">
        <v>171</v>
      </c>
      <c r="G29" s="186">
        <f>D26*G24*D29*((((2*CompressibilityFactor*D32*(GasTemperature+273.15)*G26)/(MolecularWeight*GasPressure*(1-D25^4)))+(9.81*2*(G14/1000)/(1-(D25^4))))^0.5)</f>
        <v>0.10715088790927794</v>
      </c>
      <c r="H29" s="128" t="s">
        <v>284</v>
      </c>
      <c r="J29" s="158"/>
      <c r="K29" s="156"/>
      <c r="L29" s="3"/>
      <c r="M29" s="3"/>
      <c r="N29" s="3"/>
      <c r="O29" s="4"/>
    </row>
    <row r="30" spans="1:15" x14ac:dyDescent="0.2">
      <c r="A30" s="313"/>
      <c r="C30" s="29"/>
      <c r="D30" s="190"/>
      <c r="E30" s="190"/>
      <c r="F30" s="188"/>
      <c r="G30" s="189"/>
      <c r="H30" s="131"/>
      <c r="J30" s="158"/>
      <c r="K30" s="156"/>
      <c r="L30" s="3"/>
      <c r="M30" s="3"/>
      <c r="N30" s="3"/>
      <c r="O30" s="4"/>
    </row>
    <row r="31" spans="1:15" ht="16" x14ac:dyDescent="0.2">
      <c r="A31" s="313"/>
      <c r="C31" s="29" t="s">
        <v>219</v>
      </c>
      <c r="D31" s="189"/>
      <c r="E31" s="190"/>
      <c r="F31" s="188" t="s">
        <v>172</v>
      </c>
      <c r="G31" s="194">
        <f>G29/D24</f>
        <v>6.0634998995367777</v>
      </c>
      <c r="H31" s="128" t="s">
        <v>285</v>
      </c>
      <c r="J31" s="158" t="s">
        <v>287</v>
      </c>
      <c r="K31" s="156"/>
      <c r="L31" s="3"/>
      <c r="M31" s="3"/>
      <c r="N31" s="3"/>
      <c r="O31" s="4"/>
    </row>
    <row r="32" spans="1:15" ht="16" x14ac:dyDescent="0.2">
      <c r="A32" s="313"/>
      <c r="C32" s="29" t="s">
        <v>220</v>
      </c>
      <c r="D32" s="242">
        <v>8.3145000000000007</v>
      </c>
      <c r="E32" s="190" t="s">
        <v>282</v>
      </c>
      <c r="F32" s="188"/>
      <c r="G32" s="189"/>
      <c r="H32" s="131"/>
      <c r="J32" s="158" t="s">
        <v>207</v>
      </c>
      <c r="K32" s="156"/>
      <c r="L32" s="3"/>
      <c r="M32" s="3"/>
      <c r="N32" s="3"/>
      <c r="O32" s="4"/>
    </row>
    <row r="33" spans="1:15" ht="16" x14ac:dyDescent="0.2">
      <c r="A33" s="313"/>
      <c r="C33" s="29"/>
      <c r="D33" s="191"/>
      <c r="E33" s="26"/>
      <c r="F33" s="188" t="s">
        <v>174</v>
      </c>
      <c r="G33" s="195">
        <f>D23*G31*(D27)/Viscosity</f>
        <v>362267.05728058988</v>
      </c>
      <c r="H33" s="138"/>
      <c r="J33" s="158" t="s">
        <v>348</v>
      </c>
      <c r="K33" s="156"/>
      <c r="L33" s="3"/>
      <c r="M33" s="3"/>
      <c r="N33" s="3"/>
      <c r="O33" s="4"/>
    </row>
    <row r="34" spans="1:15" ht="17" thickBot="1" x14ac:dyDescent="0.25">
      <c r="A34" s="313"/>
      <c r="C34" s="244"/>
      <c r="D34" s="245"/>
      <c r="E34" s="246"/>
      <c r="F34" s="254" t="s">
        <v>229</v>
      </c>
      <c r="G34" s="180"/>
      <c r="H34" s="181"/>
      <c r="J34" s="158" t="s">
        <v>288</v>
      </c>
      <c r="K34" s="156"/>
      <c r="L34" s="3"/>
      <c r="M34" s="3"/>
      <c r="N34" s="3"/>
      <c r="O34" s="4"/>
    </row>
    <row r="35" spans="1:15" ht="16" x14ac:dyDescent="0.2">
      <c r="J35" s="158" t="s">
        <v>289</v>
      </c>
      <c r="K35" s="156"/>
      <c r="L35" s="3"/>
      <c r="M35" s="3"/>
      <c r="N35" s="3"/>
      <c r="O35" s="4"/>
    </row>
    <row r="36" spans="1:15" x14ac:dyDescent="0.2">
      <c r="C36" s="197"/>
      <c r="J36" s="158" t="s">
        <v>208</v>
      </c>
      <c r="K36" s="156"/>
      <c r="L36" s="3"/>
      <c r="M36" s="3"/>
      <c r="N36" s="3"/>
      <c r="O36" s="4"/>
    </row>
    <row r="37" spans="1:15" ht="19" thickBot="1" x14ac:dyDescent="0.25">
      <c r="A37" s="301" t="s">
        <v>175</v>
      </c>
      <c r="C37" s="182" t="s">
        <v>176</v>
      </c>
      <c r="J37" s="158" t="s">
        <v>209</v>
      </c>
      <c r="K37" s="156"/>
      <c r="L37" s="3"/>
      <c r="M37" s="3"/>
      <c r="N37" s="3"/>
      <c r="O37" s="4"/>
    </row>
    <row r="38" spans="1:15" ht="16" thickBot="1" x14ac:dyDescent="0.25">
      <c r="A38" s="301"/>
      <c r="C38" s="161"/>
      <c r="D38" s="198"/>
      <c r="E38" s="198"/>
      <c r="F38" s="198"/>
      <c r="G38" s="199"/>
      <c r="J38" s="241" t="s">
        <v>290</v>
      </c>
      <c r="K38" s="156"/>
      <c r="L38" s="3"/>
      <c r="M38" s="3"/>
      <c r="N38" s="3"/>
      <c r="O38" s="4"/>
    </row>
    <row r="39" spans="1:15" ht="19" thickBot="1" x14ac:dyDescent="0.25">
      <c r="A39" s="301"/>
      <c r="C39" s="29" t="s">
        <v>177</v>
      </c>
      <c r="D39" s="189"/>
      <c r="E39" s="190"/>
      <c r="F39" s="276">
        <f>IF(G43="yes",G29,"ISO cond. not met")</f>
        <v>0.10715088790927794</v>
      </c>
      <c r="G39" s="201" t="s">
        <v>286</v>
      </c>
      <c r="J39" s="158" t="s">
        <v>211</v>
      </c>
      <c r="K39" s="156"/>
      <c r="L39" s="3"/>
      <c r="M39" s="3"/>
      <c r="N39" s="3"/>
      <c r="O39" s="4"/>
    </row>
    <row r="40" spans="1:15" ht="17" thickBot="1" x14ac:dyDescent="0.25">
      <c r="A40" s="301"/>
      <c r="C40" s="202" t="s">
        <v>178</v>
      </c>
      <c r="D40" s="191"/>
      <c r="E40" s="190"/>
      <c r="F40" s="190"/>
      <c r="G40" s="203"/>
      <c r="J40" s="158" t="s">
        <v>291</v>
      </c>
      <c r="K40" s="156"/>
      <c r="L40" s="3"/>
      <c r="M40" s="3"/>
      <c r="N40" s="3"/>
      <c r="O40" s="4"/>
    </row>
    <row r="41" spans="1:15" ht="20" thickBot="1" x14ac:dyDescent="0.25">
      <c r="A41" s="301"/>
      <c r="C41" s="205" t="s">
        <v>179</v>
      </c>
      <c r="D41" s="191"/>
      <c r="E41" s="190"/>
      <c r="F41" s="206">
        <f>IF(F18="as cast",0.007,IF(F18="machined",0.01,0.015))</f>
        <v>7.0000000000000001E-3</v>
      </c>
      <c r="G41" s="203"/>
      <c r="J41" s="158" t="s">
        <v>210</v>
      </c>
      <c r="K41" s="156"/>
      <c r="L41" s="3"/>
      <c r="M41" s="3"/>
      <c r="N41" s="3"/>
      <c r="O41" s="4"/>
    </row>
    <row r="42" spans="1:15" ht="16" thickBot="1" x14ac:dyDescent="0.25">
      <c r="A42" s="301"/>
      <c r="C42" s="167" t="s">
        <v>180</v>
      </c>
      <c r="D42" s="191"/>
      <c r="E42" s="190"/>
      <c r="F42" s="190"/>
      <c r="G42" s="203"/>
      <c r="J42" s="204" t="s">
        <v>292</v>
      </c>
      <c r="K42" s="156"/>
      <c r="L42" s="3"/>
      <c r="M42" s="3"/>
      <c r="N42" s="3"/>
      <c r="O42" s="4"/>
    </row>
    <row r="43" spans="1:15" ht="17" thickBot="1" x14ac:dyDescent="0.25">
      <c r="A43" s="301"/>
      <c r="C43" s="205" t="s">
        <v>181</v>
      </c>
      <c r="D43" s="189"/>
      <c r="E43" s="190"/>
      <c r="F43" s="188"/>
      <c r="G43" s="207" t="str">
        <f>IF(D53="no","no",IF(G53="no","no",IF(D55="no","no",IF(G55="no","no",IF(D57="no","no",IF(G57="no","no","yes"))))))</f>
        <v>yes</v>
      </c>
      <c r="J43" s="204" t="s">
        <v>293</v>
      </c>
      <c r="K43" s="156"/>
      <c r="L43" s="3"/>
      <c r="M43" s="3"/>
      <c r="N43" s="3"/>
      <c r="O43" s="4"/>
    </row>
    <row r="44" spans="1:15" x14ac:dyDescent="0.2">
      <c r="A44" s="301"/>
      <c r="C44" s="167" t="s">
        <v>182</v>
      </c>
      <c r="D44" s="166"/>
      <c r="E44" s="144"/>
      <c r="F44" s="144"/>
      <c r="G44" s="208"/>
      <c r="J44" s="204"/>
      <c r="K44" s="156"/>
      <c r="L44" s="3"/>
      <c r="M44" s="3"/>
      <c r="N44" s="3"/>
      <c r="O44" s="4"/>
    </row>
    <row r="45" spans="1:15" ht="16" thickBot="1" x14ac:dyDescent="0.25">
      <c r="A45" s="301"/>
      <c r="C45" s="209"/>
      <c r="D45" s="210"/>
      <c r="E45" s="123"/>
      <c r="F45" s="123"/>
      <c r="G45" s="211"/>
      <c r="J45" s="157"/>
      <c r="K45" s="156"/>
      <c r="L45" s="3"/>
      <c r="M45" s="3"/>
      <c r="N45" s="3"/>
      <c r="O45" s="4"/>
    </row>
    <row r="46" spans="1:15" x14ac:dyDescent="0.2">
      <c r="J46" s="157"/>
      <c r="K46" s="156"/>
      <c r="L46" s="3"/>
      <c r="M46" s="3"/>
      <c r="N46" s="3"/>
      <c r="O46" s="4"/>
    </row>
    <row r="47" spans="1:15" ht="16" thickBot="1" x14ac:dyDescent="0.25">
      <c r="A47" s="301" t="s">
        <v>185</v>
      </c>
      <c r="C47" s="212" t="s">
        <v>186</v>
      </c>
      <c r="D47" s="213"/>
      <c r="E47" s="213"/>
      <c r="F47" s="213"/>
      <c r="G47" s="213"/>
      <c r="H47" s="213"/>
      <c r="J47" s="158"/>
      <c r="K47" s="156"/>
      <c r="L47" s="3"/>
      <c r="M47" s="3"/>
      <c r="N47" s="3"/>
      <c r="O47" s="4"/>
    </row>
    <row r="48" spans="1:15" x14ac:dyDescent="0.2">
      <c r="A48" s="301"/>
      <c r="C48" s="183"/>
      <c r="D48" s="214"/>
      <c r="E48" s="215"/>
      <c r="F48" s="111"/>
      <c r="G48" s="214"/>
      <c r="H48" s="216"/>
      <c r="J48" s="158"/>
      <c r="K48" s="156"/>
      <c r="L48" s="3"/>
      <c r="M48" s="3"/>
      <c r="N48" s="3"/>
      <c r="O48" s="4"/>
    </row>
    <row r="49" spans="1:15" ht="16" x14ac:dyDescent="0.2">
      <c r="A49" s="301"/>
      <c r="C49" s="217" t="s">
        <v>189</v>
      </c>
      <c r="D49" s="218">
        <f>IF($F$18="as cast",100,IF($F$18="machined",20,200))</f>
        <v>100</v>
      </c>
      <c r="E49" s="219" t="s">
        <v>276</v>
      </c>
      <c r="F49" s="220" t="s">
        <v>190</v>
      </c>
      <c r="G49" s="218">
        <f>IF($F$18="as cast",800,IF($F$18="machined",250,1200))</f>
        <v>800</v>
      </c>
      <c r="H49" s="221" t="s">
        <v>276</v>
      </c>
      <c r="J49" s="158"/>
      <c r="K49" s="156"/>
      <c r="L49" s="3"/>
      <c r="M49" s="3"/>
      <c r="N49" s="3"/>
      <c r="O49" s="4"/>
    </row>
    <row r="50" spans="1:15" ht="16" x14ac:dyDescent="0.2">
      <c r="A50" s="301"/>
      <c r="C50" s="217" t="s">
        <v>191</v>
      </c>
      <c r="D50" s="222">
        <f>IF($F$18="as cast",0.3,IF($F$18="machined",0.4,0.4))</f>
        <v>0.3</v>
      </c>
      <c r="E50" s="219"/>
      <c r="F50" s="220" t="s">
        <v>192</v>
      </c>
      <c r="G50" s="231">
        <f>IF($F$18="as cast",0.75,IF($F$18="machined",0.75,0.7))</f>
        <v>0.75</v>
      </c>
      <c r="H50" s="223"/>
      <c r="J50" s="158"/>
      <c r="K50" s="156"/>
      <c r="L50" s="3"/>
      <c r="M50" s="3"/>
      <c r="N50" s="3"/>
      <c r="O50" s="4"/>
    </row>
    <row r="51" spans="1:15" ht="16" x14ac:dyDescent="0.2">
      <c r="A51" s="301"/>
      <c r="C51" s="217" t="s">
        <v>193</v>
      </c>
      <c r="D51" s="224">
        <v>200000</v>
      </c>
      <c r="E51" s="219"/>
      <c r="F51" s="220" t="s">
        <v>194</v>
      </c>
      <c r="G51" s="224">
        <f>IF($F$18="as cast",2000000,IF($F$18="machined",1000000,2000000))</f>
        <v>2000000</v>
      </c>
      <c r="H51" s="221"/>
      <c r="J51" s="204" t="s">
        <v>206</v>
      </c>
      <c r="K51" s="156"/>
      <c r="L51" s="3"/>
      <c r="M51" s="3"/>
      <c r="N51" s="3"/>
      <c r="O51" s="4"/>
    </row>
    <row r="52" spans="1:15" ht="16" x14ac:dyDescent="0.2">
      <c r="A52" s="301"/>
      <c r="C52" s="167"/>
      <c r="D52" s="225"/>
      <c r="E52" s="226"/>
      <c r="F52" s="227"/>
      <c r="G52" s="225"/>
      <c r="H52" s="228"/>
      <c r="J52" s="204" t="s">
        <v>212</v>
      </c>
      <c r="K52" s="156"/>
      <c r="L52" s="3"/>
      <c r="M52" s="3"/>
      <c r="N52" s="3"/>
      <c r="O52" s="4"/>
    </row>
    <row r="53" spans="1:15" ht="16" x14ac:dyDescent="0.2">
      <c r="A53" s="301"/>
      <c r="C53" s="217" t="s">
        <v>195</v>
      </c>
      <c r="D53" s="229" t="str">
        <f>IF(D9&gt;=D49,"yes","no")</f>
        <v>yes</v>
      </c>
      <c r="E53" s="219"/>
      <c r="F53" s="220" t="s">
        <v>196</v>
      </c>
      <c r="G53" s="229" t="str">
        <f>IF(D9&lt;=G49,"yes","no")</f>
        <v>yes</v>
      </c>
      <c r="H53" s="221"/>
      <c r="J53" s="204" t="s">
        <v>213</v>
      </c>
      <c r="K53" s="156"/>
      <c r="L53" s="3"/>
      <c r="M53" s="3"/>
      <c r="N53" s="3"/>
      <c r="O53" s="4"/>
    </row>
    <row r="54" spans="1:15" x14ac:dyDescent="0.2">
      <c r="A54" s="301"/>
      <c r="C54" s="167"/>
      <c r="D54" s="230"/>
      <c r="E54" s="226"/>
      <c r="F54" s="227"/>
      <c r="G54" s="230"/>
      <c r="H54" s="228"/>
      <c r="J54" s="204" t="s">
        <v>214</v>
      </c>
      <c r="K54" s="156"/>
      <c r="L54" s="3"/>
      <c r="M54" s="3"/>
      <c r="N54" s="3"/>
      <c r="O54" s="4"/>
    </row>
    <row r="55" spans="1:15" ht="16" x14ac:dyDescent="0.2">
      <c r="A55" s="301"/>
      <c r="C55" s="217" t="s">
        <v>197</v>
      </c>
      <c r="D55" s="229" t="str">
        <f>IF(D25&gt;=D50,"yes","no")</f>
        <v>yes</v>
      </c>
      <c r="E55" s="219"/>
      <c r="F55" s="220" t="s">
        <v>198</v>
      </c>
      <c r="G55" s="229" t="str">
        <f>IF(D25&lt;=G50,"yes","no")</f>
        <v>yes</v>
      </c>
      <c r="H55" s="223"/>
      <c r="J55" s="158"/>
      <c r="K55" s="156"/>
      <c r="L55" s="3"/>
      <c r="M55" s="3"/>
      <c r="N55" s="3"/>
      <c r="O55" s="4"/>
    </row>
    <row r="56" spans="1:15" x14ac:dyDescent="0.2">
      <c r="A56" s="301"/>
      <c r="C56" s="167"/>
      <c r="D56" s="230"/>
      <c r="E56" s="226"/>
      <c r="F56" s="227"/>
      <c r="G56" s="230"/>
      <c r="H56" s="228"/>
      <c r="J56" s="158"/>
      <c r="K56" s="156"/>
      <c r="L56" s="3"/>
      <c r="M56" s="3"/>
      <c r="N56" s="3"/>
      <c r="O56" s="4"/>
    </row>
    <row r="57" spans="1:15" ht="16" x14ac:dyDescent="0.2">
      <c r="A57" s="301"/>
      <c r="C57" s="217" t="s">
        <v>199</v>
      </c>
      <c r="D57" s="231" t="str">
        <f>IF(G33&gt;=D51,"yes","no")</f>
        <v>yes</v>
      </c>
      <c r="E57" s="219"/>
      <c r="F57" s="220" t="s">
        <v>200</v>
      </c>
      <c r="G57" s="229" t="str">
        <f>IF(G33&lt;=G51,"yes","no")</f>
        <v>yes</v>
      </c>
      <c r="H57" s="221"/>
      <c r="J57" s="158"/>
      <c r="K57" s="156"/>
      <c r="L57" s="3"/>
      <c r="M57" s="3"/>
      <c r="N57" s="3"/>
      <c r="O57" s="4"/>
    </row>
    <row r="58" spans="1:15" ht="16" thickBot="1" x14ac:dyDescent="0.25">
      <c r="A58" s="301"/>
      <c r="C58" s="209"/>
      <c r="D58" s="232"/>
      <c r="E58" s="124"/>
      <c r="F58" s="233"/>
      <c r="G58" s="232"/>
      <c r="H58" s="234"/>
      <c r="J58" s="158"/>
      <c r="K58" s="156"/>
      <c r="L58" s="3"/>
      <c r="M58" s="3"/>
      <c r="N58" s="3"/>
      <c r="O58" s="4"/>
    </row>
    <row r="59" spans="1:15" ht="16" thickBot="1" x14ac:dyDescent="0.25">
      <c r="A59" s="301"/>
      <c r="J59" s="157"/>
      <c r="K59" s="156"/>
      <c r="L59" s="3"/>
      <c r="M59" s="3"/>
      <c r="N59" s="3"/>
      <c r="O59" s="4"/>
    </row>
    <row r="60" spans="1:15" x14ac:dyDescent="0.2">
      <c r="A60" s="301"/>
      <c r="C60" s="183"/>
      <c r="D60" s="109"/>
      <c r="E60" s="110"/>
      <c r="F60" s="111"/>
      <c r="G60" s="109"/>
      <c r="H60" s="112"/>
      <c r="J60" s="158" t="s">
        <v>183</v>
      </c>
      <c r="K60" s="156"/>
      <c r="L60" s="3"/>
      <c r="M60" s="3"/>
      <c r="N60" s="3"/>
      <c r="O60" s="4"/>
    </row>
    <row r="61" spans="1:15" ht="16" x14ac:dyDescent="0.2">
      <c r="A61" s="301"/>
      <c r="C61" s="235" t="s">
        <v>201</v>
      </c>
      <c r="D61" s="172"/>
      <c r="E61" s="172"/>
      <c r="F61" s="236"/>
      <c r="G61" s="172"/>
      <c r="H61" s="128"/>
      <c r="J61" s="158"/>
      <c r="K61" s="156"/>
      <c r="L61" s="3"/>
      <c r="M61" s="3"/>
      <c r="N61" s="3"/>
      <c r="O61" s="4"/>
    </row>
    <row r="62" spans="1:15" ht="16" x14ac:dyDescent="0.2">
      <c r="A62" s="301"/>
      <c r="C62" s="235" t="s">
        <v>202</v>
      </c>
      <c r="D62" s="144"/>
      <c r="E62" s="144"/>
      <c r="F62" s="26"/>
      <c r="G62" s="144"/>
      <c r="H62" s="131"/>
      <c r="J62" s="158" t="s">
        <v>184</v>
      </c>
      <c r="K62" s="156"/>
      <c r="L62" s="3"/>
      <c r="M62" s="3"/>
      <c r="N62" s="3"/>
      <c r="O62" s="4"/>
    </row>
    <row r="63" spans="1:15" ht="16" x14ac:dyDescent="0.2">
      <c r="A63" s="301"/>
      <c r="C63" s="235" t="s">
        <v>203</v>
      </c>
      <c r="D63" s="172"/>
      <c r="E63" s="172"/>
      <c r="F63" s="236"/>
      <c r="G63" s="172"/>
      <c r="H63" s="138"/>
      <c r="J63" s="158" t="s">
        <v>187</v>
      </c>
      <c r="K63" s="156"/>
      <c r="L63" s="3"/>
      <c r="M63" s="3"/>
      <c r="N63" s="3"/>
      <c r="O63" s="4"/>
    </row>
    <row r="64" spans="1:15" ht="16" x14ac:dyDescent="0.2">
      <c r="A64" s="301"/>
      <c r="C64" s="235" t="s">
        <v>204</v>
      </c>
      <c r="D64" s="172"/>
      <c r="E64" s="172"/>
      <c r="F64" s="236"/>
      <c r="G64" s="172"/>
      <c r="H64" s="138"/>
      <c r="J64" s="158" t="s">
        <v>188</v>
      </c>
      <c r="K64" s="156"/>
      <c r="L64" s="3"/>
      <c r="M64" s="3"/>
      <c r="N64" s="3"/>
      <c r="O64" s="4"/>
    </row>
    <row r="65" spans="1:15" ht="16" thickBot="1" x14ac:dyDescent="0.25">
      <c r="A65" s="301"/>
      <c r="C65" s="30"/>
      <c r="D65" s="180"/>
      <c r="E65" s="31"/>
      <c r="F65" s="196"/>
      <c r="G65" s="180"/>
      <c r="H65" s="181"/>
      <c r="J65" s="11"/>
      <c r="K65" s="12"/>
      <c r="L65" s="12"/>
      <c r="M65" s="12"/>
      <c r="N65" s="12"/>
      <c r="O65" s="13"/>
    </row>
    <row r="69" spans="1:15" x14ac:dyDescent="0.2">
      <c r="C69" s="20" t="s">
        <v>16</v>
      </c>
    </row>
    <row r="150" spans="1:1" x14ac:dyDescent="0.2">
      <c r="A150" t="s">
        <v>90</v>
      </c>
    </row>
    <row r="151" spans="1:1" x14ac:dyDescent="0.2">
      <c r="A151" t="s">
        <v>216</v>
      </c>
    </row>
    <row r="160" spans="1:1" x14ac:dyDescent="0.2">
      <c r="A160" t="s">
        <v>164</v>
      </c>
    </row>
    <row r="161" spans="1:1" x14ac:dyDescent="0.2">
      <c r="A161" t="s">
        <v>217</v>
      </c>
    </row>
    <row r="162" spans="1:1" x14ac:dyDescent="0.2">
      <c r="A162" t="s">
        <v>218</v>
      </c>
    </row>
  </sheetData>
  <sheetProtection sheet="1" objects="1" scenarios="1" formatCells="0"/>
  <mergeCells count="11">
    <mergeCell ref="L25:O25"/>
    <mergeCell ref="J6:N6"/>
    <mergeCell ref="J11:M11"/>
    <mergeCell ref="F18:H18"/>
    <mergeCell ref="A21:A34"/>
    <mergeCell ref="J8:O8"/>
    <mergeCell ref="A37:A45"/>
    <mergeCell ref="A47:A65"/>
    <mergeCell ref="C2:H2"/>
    <mergeCell ref="C3:H3"/>
    <mergeCell ref="A6:A19"/>
  </mergeCells>
  <dataValidations count="3">
    <dataValidation type="decimal" operator="greaterThanOrEqual" allowBlank="1" showInputMessage="1" showErrorMessage="1" errorTitle="Invalid Entry" error="Please enter a value greater than zero._x000a_" sqref="D9 G11 D12" xr:uid="{00000000-0002-0000-0200-000000000000}">
      <formula1>0</formula1>
    </dataValidation>
    <dataValidation operator="greaterThanOrEqual" allowBlank="1" showInputMessage="1" showErrorMessage="1" errorTitle="Invalid Entry" error="Please enter a value greater than zero._x000a_" sqref="G14" xr:uid="{00000000-0002-0000-0200-000001000000}"/>
    <dataValidation type="list" allowBlank="1" showInputMessage="1" showErrorMessage="1" sqref="F18:H18" xr:uid="{00000000-0002-0000-0200-000002000000}">
      <formula1>$A$160:$A$162</formula1>
    </dataValidation>
  </dataValidations>
  <hyperlinks>
    <hyperlink ref="J11" r:id="rId1" display="  Piping Handbook, Seventh Ed., Table E2.1M - S.I. units" xr:uid="{00000000-0004-0000-0200-000002000000}"/>
    <hyperlink ref="J11:K11" r:id="rId2" location="p2000b0d5982E_23001" display="Piping Handbook, Seventh Ed., Table E2.1M" xr:uid="{00000000-0004-0000-0200-000003000000}"/>
    <hyperlink ref="J11:L11" r:id="rId3" display="  Piping Handbook, Seventh Ed., Table E2.1M - S.I. units" xr:uid="{00000000-0004-0000-0200-000004000000}"/>
    <hyperlink ref="J11:M11" r:id="rId4" display="  Piping Handbook, Seventh Ed., Table E2.1M - S.I. units" xr:uid="{00000000-0004-0000-0200-000005000000}"/>
    <hyperlink ref="J6:N6" r:id="rId5" location="c9780071834087ch08lev2sec43" display="   Perry's Chemical Engineers' Handbook, 9th Ed, Sec. 8.8.4, Flow Measurements" xr:uid="{75228371-BD88-4F5F-93AE-9FA2E51BDF0B}"/>
    <hyperlink ref="J8:N8" r:id="rId6" location="p200139d899710_15001" display="   Perry's Chemical Engineers' Handbook, 8th Ed, Sec. 10.1.12, Differential Pressure Flowmeters" xr:uid="{0BA39C97-7232-4DAA-9573-FB9FF9340D36}"/>
    <hyperlink ref="L25:O25" r:id="rId7" location="ch10eq25" display="   Perry's Chemical Engineers' Handbook, 9th Ed, Equation 10-25 )" xr:uid="{82F25EA8-C25F-4C69-91FA-D221E12B7129}"/>
  </hyperlinks>
  <pageMargins left="0.7" right="0.7" top="0.75" bottom="0.75" header="0.3" footer="0.3"/>
  <pageSetup orientation="portrait" horizontalDpi="0" verticalDpi="0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2"/>
  <sheetViews>
    <sheetView showGridLines="0" workbookViewId="0"/>
  </sheetViews>
  <sheetFormatPr baseColWidth="10" defaultColWidth="8.83203125" defaultRowHeight="15" x14ac:dyDescent="0.2"/>
  <cols>
    <col min="1" max="1" width="7.33203125" customWidth="1"/>
    <col min="2" max="2" width="5.5" customWidth="1"/>
    <col min="3" max="3" width="26.33203125" customWidth="1"/>
    <col min="4" max="4" width="10.83203125" customWidth="1"/>
    <col min="6" max="6" width="25" customWidth="1"/>
    <col min="7" max="7" width="11.1640625" customWidth="1"/>
    <col min="9" max="9" width="8" customWidth="1"/>
    <col min="10" max="10" width="12.83203125" customWidth="1"/>
    <col min="11" max="11" width="15.1640625" customWidth="1"/>
    <col min="12" max="12" width="17.83203125" customWidth="1"/>
    <col min="13" max="13" width="16" customWidth="1"/>
    <col min="14" max="14" width="18.1640625" customWidth="1"/>
    <col min="15" max="15" width="24.5" customWidth="1"/>
  </cols>
  <sheetData>
    <row r="1" spans="1:15" ht="16" thickBot="1" x14ac:dyDescent="0.25"/>
    <row r="2" spans="1:15" ht="24" customHeight="1" x14ac:dyDescent="0.2">
      <c r="C2" s="289" t="s">
        <v>298</v>
      </c>
      <c r="D2" s="290"/>
      <c r="E2" s="290"/>
      <c r="F2" s="290"/>
      <c r="G2" s="290"/>
      <c r="H2" s="291"/>
      <c r="J2" s="153"/>
      <c r="K2" s="154" t="s">
        <v>150</v>
      </c>
      <c r="L2" s="7"/>
      <c r="M2" s="154"/>
      <c r="N2" s="7"/>
      <c r="O2" s="8"/>
    </row>
    <row r="3" spans="1:15" ht="18" x14ac:dyDescent="0.2">
      <c r="C3" s="295" t="s">
        <v>151</v>
      </c>
      <c r="D3" s="296"/>
      <c r="E3" s="296"/>
      <c r="F3" s="296"/>
      <c r="G3" s="296"/>
      <c r="H3" s="297"/>
      <c r="J3" s="155"/>
      <c r="K3" s="156"/>
      <c r="L3" s="3"/>
      <c r="M3" s="3"/>
      <c r="N3" s="3"/>
      <c r="O3" s="4"/>
    </row>
    <row r="4" spans="1:15" ht="16" thickBot="1" x14ac:dyDescent="0.25">
      <c r="C4" s="11"/>
      <c r="D4" s="12"/>
      <c r="E4" s="12"/>
      <c r="F4" s="12"/>
      <c r="G4" s="12"/>
      <c r="H4" s="13"/>
      <c r="J4" s="157" t="s">
        <v>152</v>
      </c>
      <c r="K4" s="156"/>
      <c r="L4" s="3"/>
      <c r="M4" s="3"/>
      <c r="N4" s="3"/>
      <c r="O4" s="4"/>
    </row>
    <row r="5" spans="1:15" ht="16" x14ac:dyDescent="0.2">
      <c r="E5" s="25"/>
      <c r="F5" s="25"/>
      <c r="J5" s="158"/>
      <c r="K5" s="156"/>
      <c r="L5" s="3"/>
      <c r="M5" s="3"/>
      <c r="N5" s="3"/>
      <c r="O5" s="4"/>
    </row>
    <row r="6" spans="1:15" ht="18" x14ac:dyDescent="0.2">
      <c r="A6" s="301" t="s">
        <v>153</v>
      </c>
      <c r="C6" s="159" t="s">
        <v>154</v>
      </c>
      <c r="E6" s="160"/>
      <c r="F6" t="s">
        <v>155</v>
      </c>
      <c r="J6" s="323" t="s">
        <v>360</v>
      </c>
      <c r="K6" s="324"/>
      <c r="L6" s="324"/>
      <c r="M6" s="324"/>
      <c r="N6" s="324"/>
      <c r="O6" s="4"/>
    </row>
    <row r="7" spans="1:15" ht="17" thickBot="1" x14ac:dyDescent="0.25">
      <c r="A7" s="301"/>
      <c r="E7" s="160"/>
      <c r="J7" s="158"/>
      <c r="K7" s="156"/>
      <c r="L7" s="3"/>
      <c r="M7" s="3"/>
      <c r="N7" s="3"/>
      <c r="O7" s="4"/>
    </row>
    <row r="8" spans="1:15" x14ac:dyDescent="0.2">
      <c r="A8" s="301"/>
      <c r="C8" s="161"/>
      <c r="D8" s="162"/>
      <c r="E8" s="162"/>
      <c r="F8" s="162"/>
      <c r="G8" s="162"/>
      <c r="H8" s="163"/>
      <c r="J8" s="323" t="s">
        <v>361</v>
      </c>
      <c r="K8" s="324"/>
      <c r="L8" s="324"/>
      <c r="M8" s="324"/>
      <c r="N8" s="324"/>
      <c r="O8" s="330"/>
    </row>
    <row r="9" spans="1:15" ht="17.25" customHeight="1" x14ac:dyDescent="0.2">
      <c r="A9" s="301"/>
      <c r="C9" s="29" t="s">
        <v>156</v>
      </c>
      <c r="D9" s="164">
        <v>100</v>
      </c>
      <c r="E9" s="172" t="s">
        <v>276</v>
      </c>
      <c r="F9" s="26" t="s">
        <v>223</v>
      </c>
      <c r="G9" s="277">
        <v>0.04</v>
      </c>
      <c r="H9" s="128" t="s">
        <v>284</v>
      </c>
      <c r="J9" s="158"/>
      <c r="K9" s="156"/>
      <c r="L9" s="3"/>
      <c r="M9" s="3"/>
      <c r="N9" s="3"/>
      <c r="O9" s="4"/>
    </row>
    <row r="10" spans="1:15" ht="21" customHeight="1" x14ac:dyDescent="0.2">
      <c r="A10" s="301"/>
      <c r="C10" s="167" t="s">
        <v>157</v>
      </c>
      <c r="D10" s="166"/>
      <c r="E10" s="144"/>
      <c r="F10" s="247" t="s">
        <v>224</v>
      </c>
      <c r="G10" s="166"/>
      <c r="H10" s="131"/>
      <c r="J10" s="168" t="s">
        <v>159</v>
      </c>
      <c r="K10" s="169"/>
      <c r="L10" s="169"/>
      <c r="M10" s="169"/>
      <c r="N10" s="169"/>
      <c r="O10" s="4"/>
    </row>
    <row r="11" spans="1:15" ht="16" x14ac:dyDescent="0.2">
      <c r="A11" s="301"/>
      <c r="C11" s="185" t="s">
        <v>225</v>
      </c>
      <c r="D11" s="248">
        <v>2</v>
      </c>
      <c r="E11" s="187" t="s">
        <v>274</v>
      </c>
      <c r="F11" s="137" t="s">
        <v>226</v>
      </c>
      <c r="G11" s="248">
        <v>41.370364494048587</v>
      </c>
      <c r="H11" s="128" t="s">
        <v>276</v>
      </c>
      <c r="J11" s="325" t="s">
        <v>312</v>
      </c>
      <c r="K11" s="326"/>
      <c r="L11" s="326"/>
      <c r="M11" s="326"/>
      <c r="N11" s="3"/>
      <c r="O11" s="4"/>
    </row>
    <row r="12" spans="1:15" ht="19.5" customHeight="1" x14ac:dyDescent="0.2">
      <c r="A12" s="301"/>
      <c r="C12" s="167" t="s">
        <v>227</v>
      </c>
      <c r="D12" s="166"/>
      <c r="E12" s="144"/>
      <c r="F12" s="145" t="s">
        <v>228</v>
      </c>
      <c r="G12" s="166"/>
      <c r="H12" s="131"/>
      <c r="J12" s="158"/>
      <c r="K12" s="156"/>
      <c r="L12" s="3"/>
      <c r="M12" s="3"/>
      <c r="N12" s="3"/>
      <c r="O12" s="4"/>
    </row>
    <row r="13" spans="1:15" ht="16" x14ac:dyDescent="0.2">
      <c r="A13" s="301"/>
      <c r="C13" s="173" t="s">
        <v>309</v>
      </c>
      <c r="D13" s="166"/>
      <c r="E13" s="144"/>
      <c r="F13" s="26"/>
      <c r="G13" s="170">
        <v>0</v>
      </c>
      <c r="H13" s="171" t="s">
        <v>276</v>
      </c>
      <c r="J13" s="158"/>
      <c r="K13" s="156"/>
      <c r="L13" s="3"/>
      <c r="M13" s="3"/>
      <c r="N13" s="3"/>
      <c r="O13" s="4"/>
    </row>
    <row r="14" spans="1:15" ht="16" x14ac:dyDescent="0.2">
      <c r="A14" s="301"/>
      <c r="C14" s="175" t="s">
        <v>163</v>
      </c>
      <c r="D14" s="166"/>
      <c r="E14" s="144"/>
      <c r="F14" s="26"/>
      <c r="G14" s="166"/>
      <c r="H14" s="128"/>
      <c r="J14" s="174"/>
      <c r="K14" s="156"/>
      <c r="L14" s="3"/>
      <c r="M14" s="3"/>
      <c r="N14" s="3"/>
      <c r="O14" s="4"/>
    </row>
    <row r="15" spans="1:15" ht="18" customHeight="1" x14ac:dyDescent="0.2">
      <c r="A15" s="301"/>
      <c r="C15" s="176"/>
      <c r="D15" s="166"/>
      <c r="E15" s="144"/>
      <c r="F15" s="26"/>
      <c r="G15" s="166"/>
      <c r="H15" s="128"/>
      <c r="J15" s="158"/>
      <c r="K15" s="156"/>
      <c r="L15" s="3"/>
      <c r="M15" s="3"/>
      <c r="N15" s="3"/>
      <c r="O15" s="4"/>
    </row>
    <row r="16" spans="1:15" ht="18" customHeight="1" thickBot="1" x14ac:dyDescent="0.25">
      <c r="A16" s="301"/>
      <c r="C16" s="178" t="s">
        <v>215</v>
      </c>
      <c r="D16" s="166"/>
      <c r="E16" s="144"/>
      <c r="F16" s="26"/>
      <c r="G16" s="166"/>
      <c r="H16" s="128"/>
      <c r="J16" s="158"/>
      <c r="K16" s="156"/>
      <c r="L16" s="3"/>
      <c r="M16" s="3"/>
      <c r="N16" s="3"/>
      <c r="O16" s="4"/>
    </row>
    <row r="17" spans="1:15" ht="18" customHeight="1" thickBot="1" x14ac:dyDescent="0.25">
      <c r="A17" s="301"/>
      <c r="C17" s="178" t="s">
        <v>278</v>
      </c>
      <c r="D17" s="166"/>
      <c r="E17" s="144"/>
      <c r="F17" s="327" t="s">
        <v>164</v>
      </c>
      <c r="G17" s="328"/>
      <c r="H17" s="329"/>
      <c r="J17" s="158"/>
      <c r="K17" s="156"/>
      <c r="L17" s="3"/>
      <c r="M17" s="3"/>
      <c r="N17" s="3"/>
      <c r="O17" s="4"/>
    </row>
    <row r="18" spans="1:15" ht="18.75" customHeight="1" thickBot="1" x14ac:dyDescent="0.25">
      <c r="A18" s="301"/>
      <c r="C18" s="179" t="s">
        <v>346</v>
      </c>
      <c r="D18" s="122"/>
      <c r="E18" s="123"/>
      <c r="F18" s="31"/>
      <c r="G18" s="122"/>
      <c r="H18" s="125"/>
      <c r="J18" s="158"/>
      <c r="K18" s="156"/>
      <c r="L18" s="3"/>
      <c r="M18" s="3"/>
      <c r="N18" s="3"/>
      <c r="O18" s="4"/>
    </row>
    <row r="19" spans="1:15" ht="19.5" customHeight="1" x14ac:dyDescent="0.2">
      <c r="A19" s="301"/>
      <c r="G19" s="213"/>
      <c r="J19" s="155"/>
      <c r="K19" s="156"/>
      <c r="L19" s="3"/>
      <c r="M19" s="3"/>
      <c r="N19" s="3"/>
      <c r="O19" s="4"/>
    </row>
    <row r="20" spans="1:15" x14ac:dyDescent="0.2">
      <c r="J20" s="158"/>
      <c r="K20" s="156"/>
      <c r="L20" s="3"/>
      <c r="M20" s="3"/>
      <c r="N20" s="3"/>
      <c r="O20" s="4"/>
    </row>
    <row r="21" spans="1:15" ht="18.75" customHeight="1" thickBot="1" x14ac:dyDescent="0.25">
      <c r="A21" s="313" t="s">
        <v>165</v>
      </c>
      <c r="C21" s="182" t="s">
        <v>38</v>
      </c>
      <c r="J21" s="158"/>
      <c r="K21" s="156"/>
      <c r="L21" s="3"/>
      <c r="M21" s="3"/>
      <c r="N21" s="3"/>
      <c r="O21" s="4"/>
    </row>
    <row r="22" spans="1:15" x14ac:dyDescent="0.2">
      <c r="A22" s="313"/>
      <c r="C22" s="183"/>
      <c r="D22" s="109"/>
      <c r="E22" s="110"/>
      <c r="F22" s="111"/>
      <c r="G22" s="109"/>
      <c r="H22" s="112"/>
      <c r="J22" s="158"/>
      <c r="K22" s="156"/>
      <c r="L22" s="3"/>
      <c r="M22" s="3"/>
      <c r="N22" s="3"/>
      <c r="O22" s="4"/>
    </row>
    <row r="23" spans="1:15" x14ac:dyDescent="0.2">
      <c r="A23" s="313"/>
      <c r="C23" s="29" t="s">
        <v>156</v>
      </c>
      <c r="D23" s="147">
        <f>D9/1000</f>
        <v>0.1</v>
      </c>
      <c r="E23" s="172" t="s">
        <v>279</v>
      </c>
      <c r="F23" s="26" t="s">
        <v>161</v>
      </c>
      <c r="G23" s="184">
        <f>G11/1000</f>
        <v>4.1370364494048587E-2</v>
      </c>
      <c r="H23" s="128" t="s">
        <v>279</v>
      </c>
      <c r="J23" s="158"/>
      <c r="K23" s="156"/>
      <c r="L23" s="3"/>
      <c r="M23" s="3"/>
      <c r="N23" s="3"/>
      <c r="O23" s="4"/>
    </row>
    <row r="24" spans="1:15" ht="16" x14ac:dyDescent="0.2">
      <c r="A24" s="313"/>
      <c r="C24" s="29" t="s">
        <v>166</v>
      </c>
      <c r="D24" s="186">
        <f>PI()*(D23^2)/4</f>
        <v>7.8539816339744835E-3</v>
      </c>
      <c r="E24" s="279" t="s">
        <v>280</v>
      </c>
      <c r="F24" s="188" t="s">
        <v>167</v>
      </c>
      <c r="G24" s="186">
        <f>PI()*(G23^2)/4</f>
        <v>1.3442145002859097E-3</v>
      </c>
      <c r="H24" s="278" t="s">
        <v>280</v>
      </c>
      <c r="J24" s="157" t="s">
        <v>349</v>
      </c>
      <c r="K24" s="156"/>
      <c r="L24" s="3"/>
      <c r="M24" s="3"/>
      <c r="N24" s="3"/>
      <c r="O24" s="4"/>
    </row>
    <row r="25" spans="1:15" ht="16" x14ac:dyDescent="0.2">
      <c r="A25" s="313"/>
      <c r="C25" s="29" t="s">
        <v>168</v>
      </c>
      <c r="D25" s="186">
        <f>G23/D23</f>
        <v>0.41370364494048584</v>
      </c>
      <c r="E25" s="190"/>
      <c r="F25" s="188" t="s">
        <v>221</v>
      </c>
      <c r="G25" s="194">
        <f>(GasPressure-D11)/GasPressure</f>
        <v>0.99710144927536237</v>
      </c>
      <c r="H25" s="131"/>
      <c r="J25" s="240" t="s">
        <v>311</v>
      </c>
      <c r="K25" s="239"/>
      <c r="L25" s="321" t="s">
        <v>362</v>
      </c>
      <c r="M25" s="321"/>
      <c r="N25" s="321"/>
      <c r="O25" s="322"/>
    </row>
    <row r="26" spans="1:15" x14ac:dyDescent="0.2">
      <c r="A26" s="313"/>
      <c r="C26" s="29" t="s">
        <v>170</v>
      </c>
      <c r="D26" s="186">
        <f>IF(F17="as cast",0.984,IF(F17="machined",0.995,0.985))</f>
        <v>0.98399999999999999</v>
      </c>
      <c r="E26" s="190"/>
      <c r="F26" s="188" t="s">
        <v>172</v>
      </c>
      <c r="G26" s="194">
        <f>G9/D24</f>
        <v>5.0929581789406502</v>
      </c>
      <c r="H26" s="128" t="s">
        <v>295</v>
      </c>
      <c r="J26" s="158"/>
      <c r="K26" s="156"/>
      <c r="L26" s="3"/>
      <c r="M26" s="3"/>
      <c r="N26" s="3"/>
      <c r="O26" s="4"/>
    </row>
    <row r="27" spans="1:15" ht="16" x14ac:dyDescent="0.2">
      <c r="A27" s="313"/>
      <c r="C27" s="29" t="s">
        <v>205</v>
      </c>
      <c r="D27" s="238">
        <f>GasPressure*MolecularWeight/(CompressibilityFactor*D32*(GasTemperature+273.15))</f>
        <v>4.4904388593289406</v>
      </c>
      <c r="E27" s="187" t="s">
        <v>281</v>
      </c>
      <c r="F27" s="188" t="s">
        <v>174</v>
      </c>
      <c r="G27" s="195">
        <f>D23*G26*D27/Viscosity</f>
        <v>203205.78585177084</v>
      </c>
      <c r="H27" s="138"/>
      <c r="J27" s="158"/>
      <c r="K27" s="156"/>
      <c r="L27" s="3"/>
      <c r="M27" s="3"/>
      <c r="N27" s="3"/>
      <c r="O27" s="4"/>
    </row>
    <row r="28" spans="1:15" ht="19.5" customHeight="1" x14ac:dyDescent="0.2">
      <c r="A28" s="313"/>
      <c r="C28" s="185"/>
      <c r="D28" s="189"/>
      <c r="E28" s="190"/>
      <c r="F28" s="193" t="s">
        <v>231</v>
      </c>
      <c r="G28" s="189"/>
      <c r="H28" s="131"/>
      <c r="J28" s="155"/>
      <c r="K28" s="156"/>
      <c r="L28" s="3"/>
      <c r="M28" s="3"/>
      <c r="N28" s="3"/>
      <c r="O28" s="4"/>
    </row>
    <row r="29" spans="1:15" ht="16" x14ac:dyDescent="0.2">
      <c r="A29" s="313"/>
      <c r="C29" s="29" t="s">
        <v>222</v>
      </c>
      <c r="D29" s="186">
        <f>((SpecificHeatRatio*(G25^(2/SpecificHeatRatio))/(SpecificHeatRatio-1))*((1-(D25^4))/(1-(D25^4)*(G25^(2/SpecificHeatRatio))))*((1-(G25^((SpecificHeatRatio-1)/SpecificHeatRatio)))/(1-G25)))^0.5</f>
        <v>0.9982858005653823</v>
      </c>
      <c r="E29" s="190"/>
      <c r="F29" s="249" t="s">
        <v>230</v>
      </c>
      <c r="G29" s="186">
        <f>(((G9/(D26*G24*D29))^2)-(9.81*2*(G13/1000)/(1-(D25^4))))*(GasPressure*MolecularWeight*(1-D25^4)/(2*CompressibilityFactor*D32*(GasTemperature+273.15)))</f>
        <v>1999.9999952650414</v>
      </c>
      <c r="H29" s="138" t="s">
        <v>283</v>
      </c>
      <c r="J29" s="158"/>
      <c r="K29" s="156"/>
      <c r="L29" s="3"/>
      <c r="M29" s="3"/>
      <c r="N29" s="3"/>
      <c r="O29" s="4"/>
    </row>
    <row r="30" spans="1:15" x14ac:dyDescent="0.2">
      <c r="A30" s="313"/>
      <c r="C30" s="29"/>
      <c r="D30" s="190"/>
      <c r="E30" s="190"/>
      <c r="F30" s="188"/>
      <c r="G30" s="189"/>
      <c r="H30" s="131"/>
      <c r="J30" s="158"/>
      <c r="K30" s="156"/>
      <c r="L30" s="3"/>
      <c r="M30" s="3"/>
      <c r="N30" s="3"/>
      <c r="O30" s="4"/>
    </row>
    <row r="31" spans="1:15" ht="16" x14ac:dyDescent="0.2">
      <c r="A31" s="313"/>
      <c r="C31" s="29" t="s">
        <v>219</v>
      </c>
      <c r="D31" s="189"/>
      <c r="E31" s="190" t="s">
        <v>232</v>
      </c>
      <c r="F31" s="193"/>
      <c r="G31" s="189"/>
      <c r="H31" s="131"/>
      <c r="J31" s="158" t="s">
        <v>287</v>
      </c>
      <c r="K31" s="156"/>
      <c r="L31" s="3"/>
      <c r="M31" s="3"/>
      <c r="N31" s="3"/>
      <c r="O31" s="4"/>
    </row>
    <row r="32" spans="1:15" ht="16" x14ac:dyDescent="0.2">
      <c r="A32" s="313"/>
      <c r="C32" s="29" t="s">
        <v>220</v>
      </c>
      <c r="D32" s="242">
        <v>8.3145000000000007</v>
      </c>
      <c r="E32" s="188" t="s">
        <v>233</v>
      </c>
      <c r="F32" s="188"/>
      <c r="G32" s="186">
        <f>(D11*1000)-G29</f>
        <v>4.7349585656775162E-6</v>
      </c>
      <c r="H32" s="138" t="s">
        <v>283</v>
      </c>
      <c r="J32" s="158" t="s">
        <v>207</v>
      </c>
      <c r="K32" s="156"/>
      <c r="L32" s="3"/>
      <c r="M32" s="3"/>
      <c r="N32" s="3"/>
      <c r="O32" s="4"/>
    </row>
    <row r="33" spans="1:15" ht="16" x14ac:dyDescent="0.2">
      <c r="A33" s="313"/>
      <c r="C33" s="29"/>
      <c r="D33" s="191" t="s">
        <v>294</v>
      </c>
      <c r="E33" s="26"/>
      <c r="F33" s="193"/>
      <c r="G33" s="189"/>
      <c r="H33" s="131"/>
      <c r="J33" s="158" t="s">
        <v>348</v>
      </c>
      <c r="K33" s="156"/>
      <c r="L33" s="3"/>
      <c r="M33" s="3"/>
      <c r="N33" s="3"/>
      <c r="O33" s="4"/>
    </row>
    <row r="34" spans="1:15" ht="17" thickBot="1" x14ac:dyDescent="0.25">
      <c r="A34" s="313"/>
      <c r="C34" s="244"/>
      <c r="D34" s="245"/>
      <c r="E34" s="246"/>
      <c r="F34" s="196"/>
      <c r="G34" s="180"/>
      <c r="H34" s="181"/>
      <c r="J34" s="158" t="s">
        <v>288</v>
      </c>
      <c r="K34" s="156"/>
      <c r="L34" s="3"/>
      <c r="M34" s="3"/>
      <c r="N34" s="3"/>
      <c r="O34" s="4"/>
    </row>
    <row r="35" spans="1:15" ht="16" x14ac:dyDescent="0.2">
      <c r="A35" s="313"/>
      <c r="J35" s="158" t="s">
        <v>289</v>
      </c>
      <c r="K35" s="156"/>
      <c r="L35" s="3"/>
      <c r="M35" s="3"/>
      <c r="N35" s="3"/>
      <c r="O35" s="4"/>
    </row>
    <row r="36" spans="1:15" x14ac:dyDescent="0.2">
      <c r="A36" s="313"/>
      <c r="C36" s="197" t="s">
        <v>315</v>
      </c>
      <c r="J36" s="158" t="s">
        <v>208</v>
      </c>
      <c r="K36" s="156"/>
      <c r="L36" s="3"/>
      <c r="M36" s="3"/>
      <c r="N36" s="3"/>
      <c r="O36" s="4"/>
    </row>
    <row r="37" spans="1:15" ht="16" x14ac:dyDescent="0.2">
      <c r="A37" s="313"/>
      <c r="C37" s="197" t="s">
        <v>317</v>
      </c>
      <c r="J37" s="158" t="s">
        <v>209</v>
      </c>
      <c r="K37" s="156"/>
      <c r="L37" s="3"/>
      <c r="M37" s="3"/>
      <c r="N37" s="3"/>
      <c r="O37" s="4"/>
    </row>
    <row r="38" spans="1:15" x14ac:dyDescent="0.2">
      <c r="A38" s="313"/>
      <c r="C38" s="283" t="s">
        <v>316</v>
      </c>
      <c r="J38" s="241" t="s">
        <v>290</v>
      </c>
      <c r="K38" s="156"/>
      <c r="L38" s="3"/>
      <c r="M38" s="3"/>
      <c r="N38" s="3"/>
      <c r="O38" s="4"/>
    </row>
    <row r="39" spans="1:15" x14ac:dyDescent="0.2">
      <c r="A39" s="313"/>
      <c r="C39" s="286" t="s">
        <v>319</v>
      </c>
      <c r="D39" s="285"/>
      <c r="E39" s="285"/>
      <c r="F39" s="285"/>
      <c r="G39" s="285"/>
      <c r="H39" s="285"/>
      <c r="J39" s="158" t="s">
        <v>211</v>
      </c>
      <c r="K39" s="156"/>
      <c r="L39" s="3"/>
      <c r="M39" s="3"/>
      <c r="N39" s="3"/>
      <c r="O39" s="4"/>
    </row>
    <row r="40" spans="1:15" ht="16" x14ac:dyDescent="0.2">
      <c r="A40" s="313"/>
      <c r="C40" s="286" t="s">
        <v>314</v>
      </c>
      <c r="D40" s="285"/>
      <c r="E40" s="285"/>
      <c r="F40" s="285"/>
      <c r="G40" s="285"/>
      <c r="H40" s="285"/>
      <c r="J40" s="158" t="s">
        <v>291</v>
      </c>
      <c r="K40" s="156"/>
      <c r="L40" s="3"/>
      <c r="M40" s="3"/>
      <c r="N40" s="3"/>
      <c r="O40" s="4"/>
    </row>
    <row r="41" spans="1:15" x14ac:dyDescent="0.2">
      <c r="A41" s="313"/>
      <c r="C41" s="286" t="s">
        <v>318</v>
      </c>
      <c r="D41" s="285"/>
      <c r="E41" s="285"/>
      <c r="F41" s="285"/>
      <c r="G41" s="285"/>
      <c r="H41" s="285"/>
      <c r="J41" s="158" t="s">
        <v>210</v>
      </c>
      <c r="K41" s="156"/>
      <c r="L41" s="3"/>
      <c r="M41" s="3"/>
      <c r="N41" s="3"/>
      <c r="O41" s="4"/>
    </row>
    <row r="42" spans="1:15" x14ac:dyDescent="0.2">
      <c r="J42" s="204" t="s">
        <v>292</v>
      </c>
      <c r="K42" s="156"/>
      <c r="L42" s="3"/>
      <c r="M42" s="3"/>
      <c r="N42" s="3"/>
      <c r="O42" s="4"/>
    </row>
    <row r="43" spans="1:15" ht="19" thickBot="1" x14ac:dyDescent="0.25">
      <c r="A43" s="301" t="s">
        <v>175</v>
      </c>
      <c r="C43" s="182" t="s">
        <v>176</v>
      </c>
      <c r="J43" s="204" t="s">
        <v>296</v>
      </c>
      <c r="K43" s="156"/>
      <c r="L43" s="3"/>
      <c r="M43" s="3"/>
      <c r="N43" s="3"/>
      <c r="O43" s="4"/>
    </row>
    <row r="44" spans="1:15" ht="16" thickBot="1" x14ac:dyDescent="0.25">
      <c r="A44" s="301"/>
      <c r="C44" s="161"/>
      <c r="D44" s="198"/>
      <c r="E44" s="198"/>
      <c r="F44" s="198"/>
      <c r="G44" s="199"/>
      <c r="J44" s="204"/>
      <c r="K44" s="156"/>
      <c r="L44" s="3"/>
      <c r="M44" s="3"/>
      <c r="N44" s="3"/>
      <c r="O44" s="4"/>
    </row>
    <row r="45" spans="1:15" ht="19" thickBot="1" x14ac:dyDescent="0.25">
      <c r="A45" s="301"/>
      <c r="C45" s="29" t="s">
        <v>234</v>
      </c>
      <c r="D45" s="189"/>
      <c r="E45" s="190"/>
      <c r="F45" s="200">
        <f>IF(G49="yes",IF(ABS(G32)&lt;=0.001,G11,"Redo Goal Seek"),"ISO cond. not met")</f>
        <v>41.370364494048587</v>
      </c>
      <c r="G45" s="201" t="s">
        <v>276</v>
      </c>
      <c r="J45" s="157"/>
      <c r="K45" s="156"/>
      <c r="L45" s="3"/>
      <c r="M45" s="3"/>
      <c r="N45" s="3"/>
      <c r="O45" s="4"/>
    </row>
    <row r="46" spans="1:15" ht="17" thickBot="1" x14ac:dyDescent="0.25">
      <c r="A46" s="301"/>
      <c r="C46" s="202" t="s">
        <v>178</v>
      </c>
      <c r="D46" s="191"/>
      <c r="E46" s="190"/>
      <c r="F46" s="190"/>
      <c r="G46" s="203"/>
      <c r="J46" s="157"/>
      <c r="K46" s="156"/>
      <c r="L46" s="3"/>
      <c r="M46" s="3"/>
      <c r="N46" s="3"/>
      <c r="O46" s="4"/>
    </row>
    <row r="47" spans="1:15" ht="20" thickBot="1" x14ac:dyDescent="0.25">
      <c r="A47" s="301"/>
      <c r="C47" s="205" t="s">
        <v>179</v>
      </c>
      <c r="D47" s="191"/>
      <c r="E47" s="190"/>
      <c r="F47" s="206">
        <f>IF(F17="as cast",0.007,IF(F17="machined",0.01,0.015))</f>
        <v>7.0000000000000001E-3</v>
      </c>
      <c r="G47" s="203"/>
      <c r="J47" s="158"/>
      <c r="K47" s="156"/>
      <c r="L47" s="3"/>
      <c r="M47" s="3"/>
      <c r="N47" s="3"/>
      <c r="O47" s="4"/>
    </row>
    <row r="48" spans="1:15" ht="16" thickBot="1" x14ac:dyDescent="0.25">
      <c r="A48" s="301"/>
      <c r="C48" s="167" t="s">
        <v>180</v>
      </c>
      <c r="D48" s="191"/>
      <c r="E48" s="190"/>
      <c r="F48" s="190"/>
      <c r="G48" s="203"/>
      <c r="J48" s="158"/>
      <c r="K48" s="156"/>
      <c r="L48" s="3"/>
      <c r="M48" s="3"/>
      <c r="N48" s="3"/>
      <c r="O48" s="4"/>
    </row>
    <row r="49" spans="1:15" ht="17" thickBot="1" x14ac:dyDescent="0.25">
      <c r="A49" s="301"/>
      <c r="C49" s="205" t="s">
        <v>181</v>
      </c>
      <c r="D49" s="189"/>
      <c r="E49" s="190"/>
      <c r="F49" s="188"/>
      <c r="G49" s="207" t="str">
        <f>IF(D59="no","no",IF(G59="no","no",IF(D61="no","no",IF(G61="no","no",IF(D63="no","no",IF(G63="no","no","yes"))))))</f>
        <v>yes</v>
      </c>
      <c r="J49" s="158"/>
      <c r="K49" s="156"/>
      <c r="L49" s="3"/>
      <c r="M49" s="3"/>
      <c r="N49" s="3"/>
      <c r="O49" s="4"/>
    </row>
    <row r="50" spans="1:15" x14ac:dyDescent="0.2">
      <c r="A50" s="301"/>
      <c r="C50" s="167" t="s">
        <v>313</v>
      </c>
      <c r="D50" s="166"/>
      <c r="E50" s="144"/>
      <c r="F50" s="144"/>
      <c r="G50" s="208"/>
      <c r="J50" s="158"/>
      <c r="K50" s="156"/>
      <c r="L50" s="3"/>
      <c r="M50" s="3"/>
      <c r="N50" s="3"/>
      <c r="O50" s="4"/>
    </row>
    <row r="51" spans="1:15" ht="16" thickBot="1" x14ac:dyDescent="0.25">
      <c r="A51" s="301"/>
      <c r="C51" s="209"/>
      <c r="D51" s="210"/>
      <c r="E51" s="123"/>
      <c r="F51" s="123"/>
      <c r="G51" s="211"/>
      <c r="J51" s="204" t="s">
        <v>206</v>
      </c>
      <c r="K51" s="156"/>
      <c r="L51" s="3"/>
      <c r="M51" s="3"/>
      <c r="N51" s="3"/>
      <c r="O51" s="4"/>
    </row>
    <row r="52" spans="1:15" ht="16" x14ac:dyDescent="0.2">
      <c r="J52" s="204" t="s">
        <v>212</v>
      </c>
      <c r="K52" s="156"/>
      <c r="L52" s="3"/>
      <c r="M52" s="3"/>
      <c r="N52" s="3"/>
      <c r="O52" s="4"/>
    </row>
    <row r="53" spans="1:15" ht="17" thickBot="1" x14ac:dyDescent="0.25">
      <c r="A53" s="301" t="s">
        <v>185</v>
      </c>
      <c r="C53" s="212" t="s">
        <v>186</v>
      </c>
      <c r="D53" s="213"/>
      <c r="E53" s="213"/>
      <c r="F53" s="213"/>
      <c r="G53" s="213"/>
      <c r="H53" s="213"/>
      <c r="J53" s="204" t="s">
        <v>213</v>
      </c>
      <c r="K53" s="156"/>
      <c r="L53" s="3"/>
      <c r="M53" s="3"/>
      <c r="N53" s="3"/>
      <c r="O53" s="4"/>
    </row>
    <row r="54" spans="1:15" x14ac:dyDescent="0.2">
      <c r="A54" s="301"/>
      <c r="C54" s="183"/>
      <c r="D54" s="214"/>
      <c r="E54" s="215"/>
      <c r="F54" s="111"/>
      <c r="G54" s="214"/>
      <c r="H54" s="216"/>
      <c r="J54" s="204" t="s">
        <v>214</v>
      </c>
      <c r="K54" s="156"/>
      <c r="L54" s="3"/>
      <c r="M54" s="3"/>
      <c r="N54" s="3"/>
      <c r="O54" s="4"/>
    </row>
    <row r="55" spans="1:15" ht="16" x14ac:dyDescent="0.2">
      <c r="A55" s="301"/>
      <c r="C55" s="217" t="s">
        <v>189</v>
      </c>
      <c r="D55" s="218">
        <f>IF($F$17="as cast",100,IF($F$17="machined",20,200))</f>
        <v>100</v>
      </c>
      <c r="E55" s="219" t="s">
        <v>276</v>
      </c>
      <c r="F55" s="220" t="s">
        <v>190</v>
      </c>
      <c r="G55" s="218">
        <f>IF($F$17="as cast",800,IF($F$17="machined",250,1200))</f>
        <v>800</v>
      </c>
      <c r="H55" s="221" t="s">
        <v>276</v>
      </c>
      <c r="J55" s="158"/>
      <c r="K55" s="156"/>
      <c r="L55" s="3"/>
      <c r="M55" s="3"/>
      <c r="N55" s="3"/>
      <c r="O55" s="4"/>
    </row>
    <row r="56" spans="1:15" ht="16" x14ac:dyDescent="0.2">
      <c r="A56" s="301"/>
      <c r="C56" s="217" t="s">
        <v>191</v>
      </c>
      <c r="D56" s="222">
        <f>IF($F$17="as cast",0.3,IF($F$17="machined",0.4,0.4))</f>
        <v>0.3</v>
      </c>
      <c r="E56" s="219"/>
      <c r="F56" s="220" t="s">
        <v>192</v>
      </c>
      <c r="G56" s="222">
        <f>IF($F$17="as cast",0.75,IF($F$17="machined",0.75,0.7))</f>
        <v>0.75</v>
      </c>
      <c r="H56" s="223"/>
      <c r="J56" s="158"/>
      <c r="K56" s="156"/>
      <c r="L56" s="3"/>
      <c r="M56" s="3"/>
      <c r="N56" s="3"/>
      <c r="O56" s="4"/>
    </row>
    <row r="57" spans="1:15" ht="16" x14ac:dyDescent="0.2">
      <c r="A57" s="301"/>
      <c r="C57" s="217" t="s">
        <v>193</v>
      </c>
      <c r="D57" s="224">
        <v>200000</v>
      </c>
      <c r="E57" s="219"/>
      <c r="F57" s="220" t="s">
        <v>194</v>
      </c>
      <c r="G57" s="224">
        <f>IF($F$17="as cast",2000000,IF($F$17="machined",1000000,2000000))</f>
        <v>2000000</v>
      </c>
      <c r="H57" s="221"/>
      <c r="J57" s="158"/>
      <c r="K57" s="156"/>
      <c r="L57" s="3"/>
      <c r="M57" s="3"/>
      <c r="N57" s="3"/>
      <c r="O57" s="4"/>
    </row>
    <row r="58" spans="1:15" x14ac:dyDescent="0.2">
      <c r="A58" s="301"/>
      <c r="C58" s="167"/>
      <c r="D58" s="225"/>
      <c r="E58" s="226"/>
      <c r="F58" s="227"/>
      <c r="G58" s="225"/>
      <c r="H58" s="228"/>
      <c r="J58" s="158"/>
      <c r="K58" s="156"/>
      <c r="L58" s="3"/>
      <c r="M58" s="3"/>
      <c r="N58" s="3"/>
      <c r="O58" s="4"/>
    </row>
    <row r="59" spans="1:15" ht="16" x14ac:dyDescent="0.2">
      <c r="A59" s="301"/>
      <c r="C59" s="217" t="s">
        <v>195</v>
      </c>
      <c r="D59" s="229" t="str">
        <f>IF(D9&gt;=D55,"yes","no")</f>
        <v>yes</v>
      </c>
      <c r="E59" s="219"/>
      <c r="F59" s="220" t="s">
        <v>196</v>
      </c>
      <c r="G59" s="229" t="str">
        <f>IF(D9&lt;=G55,"yes","no")</f>
        <v>yes</v>
      </c>
      <c r="H59" s="221"/>
      <c r="J59" s="157"/>
      <c r="K59" s="156"/>
      <c r="L59" s="3"/>
      <c r="M59" s="3"/>
      <c r="N59" s="3"/>
      <c r="O59" s="4"/>
    </row>
    <row r="60" spans="1:15" x14ac:dyDescent="0.2">
      <c r="A60" s="301"/>
      <c r="C60" s="167"/>
      <c r="D60" s="230"/>
      <c r="E60" s="226"/>
      <c r="F60" s="227"/>
      <c r="G60" s="230"/>
      <c r="H60" s="228"/>
      <c r="J60" s="158" t="s">
        <v>183</v>
      </c>
      <c r="K60" s="156"/>
      <c r="L60" s="3"/>
      <c r="M60" s="3"/>
      <c r="N60" s="3"/>
      <c r="O60" s="4"/>
    </row>
    <row r="61" spans="1:15" ht="16" x14ac:dyDescent="0.2">
      <c r="A61" s="301"/>
      <c r="C61" s="217" t="s">
        <v>197</v>
      </c>
      <c r="D61" s="229" t="str">
        <f>IF(D25&gt;=D56,"yes","no")</f>
        <v>yes</v>
      </c>
      <c r="E61" s="219"/>
      <c r="F61" s="220" t="s">
        <v>198</v>
      </c>
      <c r="G61" s="229" t="str">
        <f>IF(D25&lt;=G56,"yes","no")</f>
        <v>yes</v>
      </c>
      <c r="H61" s="223"/>
      <c r="J61" s="158"/>
      <c r="K61" s="156"/>
      <c r="L61" s="3"/>
      <c r="M61" s="3"/>
      <c r="N61" s="3"/>
      <c r="O61" s="4"/>
    </row>
    <row r="62" spans="1:15" x14ac:dyDescent="0.2">
      <c r="A62" s="301"/>
      <c r="C62" s="167"/>
      <c r="D62" s="230"/>
      <c r="E62" s="226"/>
      <c r="F62" s="227"/>
      <c r="G62" s="230"/>
      <c r="H62" s="228"/>
      <c r="J62" s="158" t="s">
        <v>184</v>
      </c>
      <c r="K62" s="156"/>
      <c r="L62" s="3"/>
      <c r="M62" s="3"/>
      <c r="N62" s="3"/>
      <c r="O62" s="4"/>
    </row>
    <row r="63" spans="1:15" ht="16" x14ac:dyDescent="0.2">
      <c r="A63" s="301"/>
      <c r="C63" s="217" t="s">
        <v>199</v>
      </c>
      <c r="D63" s="231" t="str">
        <f>IF(G27&gt;=D57,"yes","no")</f>
        <v>yes</v>
      </c>
      <c r="E63" s="219"/>
      <c r="F63" s="220" t="s">
        <v>200</v>
      </c>
      <c r="G63" s="229" t="str">
        <f>IF(G27&lt;=G57,"yes","no")</f>
        <v>yes</v>
      </c>
      <c r="H63" s="221"/>
      <c r="J63" s="158" t="s">
        <v>187</v>
      </c>
      <c r="K63" s="156"/>
      <c r="L63" s="3"/>
      <c r="M63" s="3"/>
      <c r="N63" s="3"/>
      <c r="O63" s="4"/>
    </row>
    <row r="64" spans="1:15" ht="16" thickBot="1" x14ac:dyDescent="0.25">
      <c r="A64" s="301"/>
      <c r="C64" s="209"/>
      <c r="D64" s="232"/>
      <c r="E64" s="124"/>
      <c r="F64" s="233"/>
      <c r="G64" s="232"/>
      <c r="H64" s="234"/>
      <c r="J64" s="158" t="s">
        <v>188</v>
      </c>
      <c r="K64" s="156"/>
      <c r="L64" s="3"/>
      <c r="M64" s="3"/>
      <c r="N64" s="3"/>
      <c r="O64" s="4"/>
    </row>
    <row r="65" spans="1:15" ht="16" thickBot="1" x14ac:dyDescent="0.25">
      <c r="A65" s="301"/>
      <c r="J65" s="11"/>
      <c r="K65" s="12"/>
      <c r="L65" s="12"/>
      <c r="M65" s="12"/>
      <c r="N65" s="12"/>
      <c r="O65" s="13"/>
    </row>
    <row r="66" spans="1:15" x14ac:dyDescent="0.2">
      <c r="A66" s="301"/>
      <c r="C66" s="183"/>
      <c r="D66" s="109"/>
      <c r="E66" s="110"/>
      <c r="F66" s="111"/>
      <c r="G66" s="109"/>
      <c r="H66" s="112"/>
    </row>
    <row r="67" spans="1:15" ht="16" x14ac:dyDescent="0.2">
      <c r="A67" s="301"/>
      <c r="C67" s="235" t="s">
        <v>201</v>
      </c>
      <c r="D67" s="172"/>
      <c r="E67" s="172"/>
      <c r="F67" s="236"/>
      <c r="G67" s="172"/>
      <c r="H67" s="128"/>
    </row>
    <row r="68" spans="1:15" ht="16" x14ac:dyDescent="0.2">
      <c r="A68" s="301"/>
      <c r="C68" s="235" t="s">
        <v>202</v>
      </c>
      <c r="D68" s="144"/>
      <c r="E68" s="144"/>
      <c r="F68" s="26"/>
      <c r="G68" s="144"/>
      <c r="H68" s="131"/>
    </row>
    <row r="69" spans="1:15" ht="16" x14ac:dyDescent="0.2">
      <c r="A69" s="301"/>
      <c r="C69" s="235" t="s">
        <v>203</v>
      </c>
      <c r="D69" s="172"/>
      <c r="E69" s="172"/>
      <c r="F69" s="236"/>
      <c r="G69" s="172"/>
      <c r="H69" s="138"/>
    </row>
    <row r="70" spans="1:15" ht="16" x14ac:dyDescent="0.2">
      <c r="A70" s="301"/>
      <c r="C70" s="235" t="s">
        <v>204</v>
      </c>
      <c r="D70" s="172"/>
      <c r="E70" s="172"/>
      <c r="F70" s="236"/>
      <c r="G70" s="172"/>
      <c r="H70" s="138"/>
    </row>
    <row r="71" spans="1:15" ht="16" thickBot="1" x14ac:dyDescent="0.25">
      <c r="A71" s="301"/>
      <c r="C71" s="30"/>
      <c r="D71" s="180"/>
      <c r="E71" s="31"/>
      <c r="F71" s="196"/>
      <c r="G71" s="180"/>
      <c r="H71" s="181"/>
    </row>
    <row r="75" spans="1:15" x14ac:dyDescent="0.2">
      <c r="C75" s="20" t="s">
        <v>16</v>
      </c>
    </row>
    <row r="150" spans="1:1" x14ac:dyDescent="0.2">
      <c r="A150" t="s">
        <v>90</v>
      </c>
    </row>
    <row r="151" spans="1:1" x14ac:dyDescent="0.2">
      <c r="A151" t="s">
        <v>216</v>
      </c>
    </row>
    <row r="160" spans="1:1" x14ac:dyDescent="0.2">
      <c r="A160" t="s">
        <v>164</v>
      </c>
    </row>
    <row r="161" spans="1:1" x14ac:dyDescent="0.2">
      <c r="A161" t="s">
        <v>217</v>
      </c>
    </row>
    <row r="162" spans="1:1" x14ac:dyDescent="0.2">
      <c r="A162" t="s">
        <v>218</v>
      </c>
    </row>
  </sheetData>
  <sheetProtection sheet="1" objects="1" scenarios="1" formatCells="0"/>
  <mergeCells count="11">
    <mergeCell ref="A43:A51"/>
    <mergeCell ref="A53:A71"/>
    <mergeCell ref="J6:N6"/>
    <mergeCell ref="J11:M11"/>
    <mergeCell ref="C2:H2"/>
    <mergeCell ref="C3:H3"/>
    <mergeCell ref="A6:A19"/>
    <mergeCell ref="F17:H17"/>
    <mergeCell ref="L25:O25"/>
    <mergeCell ref="A21:A41"/>
    <mergeCell ref="J8:O8"/>
  </mergeCells>
  <dataValidations count="3">
    <dataValidation type="decimal" operator="greaterThanOrEqual" allowBlank="1" showInputMessage="1" showErrorMessage="1" errorTitle="Invalid Entry" error="Please enter a value greater than zero._x000a_" sqref="D9 G9 D11 G11" xr:uid="{00000000-0002-0000-0300-000000000000}">
      <formula1>0</formula1>
    </dataValidation>
    <dataValidation operator="greaterThanOrEqual" allowBlank="1" showInputMessage="1" showErrorMessage="1" errorTitle="Invalid Entry" error="Please enter a value greater than zero._x000a_" sqref="G13" xr:uid="{00000000-0002-0000-0300-000001000000}"/>
    <dataValidation type="list" allowBlank="1" showInputMessage="1" showErrorMessage="1" sqref="F17:H17" xr:uid="{00000000-0002-0000-0300-000002000000}">
      <formula1>$A$160:$A$162</formula1>
    </dataValidation>
  </dataValidations>
  <hyperlinks>
    <hyperlink ref="J11" r:id="rId1" display="  Piping Handbook, Seventh Ed., Table E2.1M - S.I. units" xr:uid="{00000000-0004-0000-0300-000002000000}"/>
    <hyperlink ref="J11:K11" r:id="rId2" location="p2000b0d5982E_23001" display="Piping Handbook, Seventh Ed., Table E2.1M" xr:uid="{00000000-0004-0000-0300-000003000000}"/>
    <hyperlink ref="J11:L11" r:id="rId3" display="  Piping Handbook, Seventh Ed., Table E2.1M - S.I. units" xr:uid="{00000000-0004-0000-0300-000004000000}"/>
    <hyperlink ref="J11:M11" r:id="rId4" display="  Piping Handbook, Seventh Ed., Table E2.1M - S.I. units" xr:uid="{00000000-0004-0000-0300-000005000000}"/>
    <hyperlink ref="J6:N6" r:id="rId5" location="c9780071834087ch08lev2sec43" display="   Perry's Chemical Engineers' Handbook, 9th Ed, Sec. 8.8.4, Flow Measurements" xr:uid="{BD3818B3-F861-41A3-8761-DAE6159A5423}"/>
    <hyperlink ref="J8:N8" r:id="rId6" location="p200139d899710_15001" display="   Perry's Chemical Engineers' Handbook, 8th Ed, Sec. 10.1.12, Differential Pressure Flowmeters" xr:uid="{ABF33C3E-1024-49B1-A98A-8034D88A1234}"/>
    <hyperlink ref="L25:O25" r:id="rId7" location="ch10eq25" display="   Perry's Chemical Engineers' Handbook, 9th Ed, Equation 10-25 )" xr:uid="{9C914E90-00EA-402A-8873-DC28CACFFD51}"/>
  </hyperlinks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2"/>
  <sheetViews>
    <sheetView showGridLines="0" workbookViewId="0"/>
  </sheetViews>
  <sheetFormatPr baseColWidth="10" defaultColWidth="8.83203125" defaultRowHeight="15" x14ac:dyDescent="0.2"/>
  <cols>
    <col min="1" max="1" width="7.5" customWidth="1"/>
    <col min="2" max="2" width="5.5" customWidth="1"/>
    <col min="3" max="3" width="23.5" customWidth="1"/>
    <col min="4" max="4" width="11.33203125" customWidth="1"/>
    <col min="5" max="5" width="10.1640625" customWidth="1"/>
    <col min="6" max="6" width="24.5" customWidth="1"/>
    <col min="7" max="7" width="11.5" customWidth="1"/>
    <col min="8" max="8" width="10.5" customWidth="1"/>
    <col min="10" max="10" width="11.5" customWidth="1"/>
    <col min="11" max="11" width="17.33203125" customWidth="1"/>
    <col min="12" max="12" width="15.5" customWidth="1"/>
    <col min="13" max="13" width="27.5" customWidth="1"/>
    <col min="14" max="14" width="15.83203125" customWidth="1"/>
    <col min="15" max="15" width="17.83203125" customWidth="1"/>
  </cols>
  <sheetData>
    <row r="1" spans="1:15" ht="16" thickBot="1" x14ac:dyDescent="0.25"/>
    <row r="2" spans="1:15" ht="23.25" customHeight="1" x14ac:dyDescent="0.2">
      <c r="C2" s="289" t="s">
        <v>299</v>
      </c>
      <c r="D2" s="290"/>
      <c r="E2" s="290"/>
      <c r="F2" s="290"/>
      <c r="G2" s="290"/>
      <c r="H2" s="291"/>
      <c r="J2" s="153"/>
      <c r="K2" s="154" t="s">
        <v>150</v>
      </c>
      <c r="L2" s="7"/>
      <c r="M2" s="154"/>
      <c r="N2" s="7"/>
      <c r="O2" s="8"/>
    </row>
    <row r="3" spans="1:15" ht="18" x14ac:dyDescent="0.2">
      <c r="C3" s="295" t="s">
        <v>151</v>
      </c>
      <c r="D3" s="296"/>
      <c r="E3" s="296"/>
      <c r="F3" s="296"/>
      <c r="G3" s="296"/>
      <c r="H3" s="297"/>
      <c r="J3" s="155"/>
      <c r="K3" s="156"/>
      <c r="L3" s="3"/>
      <c r="M3" s="3"/>
      <c r="N3" s="3"/>
      <c r="O3" s="4"/>
    </row>
    <row r="4" spans="1:15" ht="16" thickBot="1" x14ac:dyDescent="0.25">
      <c r="C4" s="11"/>
      <c r="D4" s="12"/>
      <c r="E4" s="12"/>
      <c r="F4" s="12"/>
      <c r="G4" s="12"/>
      <c r="H4" s="13"/>
      <c r="J4" s="157" t="s">
        <v>152</v>
      </c>
      <c r="K4" s="156"/>
      <c r="L4" s="3"/>
      <c r="M4" s="3"/>
      <c r="N4" s="3"/>
      <c r="O4" s="4"/>
    </row>
    <row r="5" spans="1:15" ht="16" x14ac:dyDescent="0.2">
      <c r="E5" s="25"/>
      <c r="F5" s="25"/>
      <c r="J5" s="158"/>
      <c r="K5" s="156"/>
      <c r="L5" s="3"/>
      <c r="M5" s="3"/>
      <c r="N5" s="3"/>
      <c r="O5" s="4"/>
    </row>
    <row r="6" spans="1:15" ht="18" customHeight="1" x14ac:dyDescent="0.2">
      <c r="A6" s="301" t="s">
        <v>153</v>
      </c>
      <c r="C6" s="159" t="s">
        <v>154</v>
      </c>
      <c r="E6" s="160"/>
      <c r="F6" t="s">
        <v>155</v>
      </c>
      <c r="J6" s="323" t="s">
        <v>360</v>
      </c>
      <c r="K6" s="324"/>
      <c r="L6" s="324"/>
      <c r="M6" s="324"/>
      <c r="N6" s="324"/>
      <c r="O6" s="4"/>
    </row>
    <row r="7" spans="1:15" ht="17" thickBot="1" x14ac:dyDescent="0.25">
      <c r="A7" s="301"/>
      <c r="E7" s="160"/>
      <c r="J7" s="158"/>
      <c r="K7" s="156"/>
      <c r="L7" s="3"/>
      <c r="M7" s="3"/>
      <c r="N7" s="3"/>
      <c r="O7" s="4"/>
    </row>
    <row r="8" spans="1:15" x14ac:dyDescent="0.2">
      <c r="A8" s="301"/>
      <c r="C8" s="161"/>
      <c r="D8" s="162"/>
      <c r="E8" s="162"/>
      <c r="F8" s="162"/>
      <c r="G8" s="162"/>
      <c r="H8" s="163"/>
      <c r="J8" s="323" t="s">
        <v>361</v>
      </c>
      <c r="K8" s="324"/>
      <c r="L8" s="324"/>
      <c r="M8" s="324"/>
      <c r="N8" s="324"/>
      <c r="O8" s="330"/>
    </row>
    <row r="9" spans="1:15" ht="17.25" customHeight="1" x14ac:dyDescent="0.2">
      <c r="A9" s="301"/>
      <c r="C9" s="29" t="s">
        <v>156</v>
      </c>
      <c r="D9" s="164">
        <v>100</v>
      </c>
      <c r="E9" s="172" t="s">
        <v>276</v>
      </c>
      <c r="F9" s="26" t="s">
        <v>223</v>
      </c>
      <c r="G9" s="251">
        <v>0.06</v>
      </c>
      <c r="H9" s="128" t="s">
        <v>284</v>
      </c>
      <c r="J9" s="158"/>
      <c r="K9" s="156"/>
      <c r="L9" s="3"/>
      <c r="M9" s="3"/>
      <c r="N9" s="3"/>
      <c r="O9" s="4"/>
    </row>
    <row r="10" spans="1:15" ht="21.75" customHeight="1" x14ac:dyDescent="0.2">
      <c r="A10" s="301"/>
      <c r="C10" s="167" t="s">
        <v>157</v>
      </c>
      <c r="D10" s="166"/>
      <c r="E10" s="144"/>
      <c r="F10" s="247" t="s">
        <v>224</v>
      </c>
      <c r="G10" s="166"/>
      <c r="H10" s="131"/>
      <c r="J10" s="168" t="s">
        <v>159</v>
      </c>
      <c r="K10" s="169"/>
      <c r="L10" s="169"/>
      <c r="M10" s="169"/>
      <c r="N10" s="169"/>
      <c r="O10" s="4"/>
    </row>
    <row r="11" spans="1:15" ht="17.25" customHeight="1" x14ac:dyDescent="0.2">
      <c r="A11" s="301"/>
      <c r="C11" s="173" t="s">
        <v>226</v>
      </c>
      <c r="D11" s="248">
        <v>30</v>
      </c>
      <c r="E11" s="172" t="s">
        <v>276</v>
      </c>
      <c r="F11" s="243" t="s">
        <v>225</v>
      </c>
      <c r="G11" s="248">
        <v>17.055680655283705</v>
      </c>
      <c r="H11" s="128" t="s">
        <v>274</v>
      </c>
      <c r="J11" s="325" t="s">
        <v>312</v>
      </c>
      <c r="K11" s="326"/>
      <c r="L11" s="326"/>
      <c r="M11" s="326"/>
      <c r="N11" s="3"/>
      <c r="O11" s="4"/>
    </row>
    <row r="12" spans="1:15" ht="21" customHeight="1" x14ac:dyDescent="0.2">
      <c r="A12" s="301"/>
      <c r="C12" s="167"/>
      <c r="D12" s="166"/>
      <c r="E12" s="144"/>
      <c r="F12" s="145" t="s">
        <v>228</v>
      </c>
      <c r="G12" s="166"/>
      <c r="H12" s="131"/>
      <c r="J12" s="158"/>
      <c r="K12" s="156"/>
      <c r="L12" s="3"/>
      <c r="M12" s="3"/>
      <c r="N12" s="3"/>
      <c r="O12" s="4"/>
    </row>
    <row r="13" spans="1:15" ht="17.25" customHeight="1" x14ac:dyDescent="0.2">
      <c r="A13" s="301"/>
      <c r="C13" s="173" t="s">
        <v>309</v>
      </c>
      <c r="D13" s="166"/>
      <c r="E13" s="144"/>
      <c r="F13" s="26"/>
      <c r="G13" s="170">
        <v>0</v>
      </c>
      <c r="H13" s="171" t="s">
        <v>276</v>
      </c>
      <c r="J13" s="158"/>
      <c r="K13" s="156"/>
      <c r="L13" s="3"/>
      <c r="M13" s="3"/>
      <c r="N13" s="3"/>
      <c r="O13" s="4"/>
    </row>
    <row r="14" spans="1:15" ht="16" x14ac:dyDescent="0.2">
      <c r="A14" s="301"/>
      <c r="C14" s="175" t="s">
        <v>163</v>
      </c>
      <c r="D14" s="166"/>
      <c r="E14" s="144"/>
      <c r="F14" s="26"/>
      <c r="G14" s="166"/>
      <c r="H14" s="128"/>
      <c r="J14" s="174"/>
      <c r="K14" s="156"/>
      <c r="L14" s="3"/>
      <c r="M14" s="3"/>
      <c r="N14" s="3"/>
      <c r="O14" s="4"/>
    </row>
    <row r="15" spans="1:15" ht="19.5" customHeight="1" thickBot="1" x14ac:dyDescent="0.25">
      <c r="A15" s="301"/>
      <c r="C15" s="178" t="s">
        <v>215</v>
      </c>
      <c r="D15" s="166"/>
      <c r="E15" s="144"/>
      <c r="F15" s="26"/>
      <c r="G15" s="166"/>
      <c r="H15" s="128"/>
      <c r="J15" s="158"/>
      <c r="K15" s="156"/>
      <c r="L15" s="3"/>
      <c r="M15" s="3"/>
      <c r="N15" s="3"/>
      <c r="O15" s="4"/>
    </row>
    <row r="16" spans="1:15" ht="18" customHeight="1" thickBot="1" x14ac:dyDescent="0.25">
      <c r="A16" s="301"/>
      <c r="C16" s="177" t="s">
        <v>235</v>
      </c>
      <c r="D16" s="166"/>
      <c r="E16" s="144"/>
      <c r="F16" s="327" t="s">
        <v>164</v>
      </c>
      <c r="G16" s="328"/>
      <c r="H16" s="329"/>
      <c r="J16" s="158"/>
      <c r="K16" s="156"/>
      <c r="L16" s="3"/>
      <c r="M16" s="3"/>
      <c r="N16" s="3"/>
      <c r="O16" s="4"/>
    </row>
    <row r="17" spans="1:15" ht="19.5" customHeight="1" thickBot="1" x14ac:dyDescent="0.25">
      <c r="A17" s="301"/>
      <c r="C17" s="179" t="s">
        <v>350</v>
      </c>
      <c r="D17" s="122"/>
      <c r="E17" s="123"/>
      <c r="F17" s="31"/>
      <c r="G17" s="122"/>
      <c r="H17" s="125"/>
      <c r="J17" s="158"/>
      <c r="K17" s="156"/>
      <c r="L17" s="3"/>
      <c r="M17" s="3"/>
      <c r="N17" s="3"/>
      <c r="O17" s="4"/>
    </row>
    <row r="18" spans="1:15" x14ac:dyDescent="0.2">
      <c r="J18" s="158"/>
      <c r="K18" s="156"/>
      <c r="L18" s="3"/>
      <c r="M18" s="3"/>
      <c r="N18" s="3"/>
      <c r="O18" s="4"/>
    </row>
    <row r="19" spans="1:15" ht="18.75" customHeight="1" thickBot="1" x14ac:dyDescent="0.25">
      <c r="A19" s="313" t="s">
        <v>165</v>
      </c>
      <c r="C19" s="182" t="s">
        <v>38</v>
      </c>
      <c r="J19" s="155"/>
      <c r="K19" s="156"/>
      <c r="L19" s="3"/>
      <c r="M19" s="3"/>
      <c r="N19" s="3"/>
      <c r="O19" s="4"/>
    </row>
    <row r="20" spans="1:15" x14ac:dyDescent="0.2">
      <c r="A20" s="313"/>
      <c r="C20" s="183"/>
      <c r="D20" s="109"/>
      <c r="E20" s="110"/>
      <c r="F20" s="111"/>
      <c r="G20" s="109"/>
      <c r="H20" s="112"/>
      <c r="J20" s="158"/>
      <c r="K20" s="156"/>
      <c r="L20" s="3"/>
      <c r="M20" s="3"/>
      <c r="N20" s="3"/>
      <c r="O20" s="4"/>
    </row>
    <row r="21" spans="1:15" x14ac:dyDescent="0.2">
      <c r="A21" s="313"/>
      <c r="C21" s="29" t="s">
        <v>156</v>
      </c>
      <c r="D21" s="147">
        <f>D9/1000</f>
        <v>0.1</v>
      </c>
      <c r="E21" s="172" t="s">
        <v>279</v>
      </c>
      <c r="F21" s="26" t="s">
        <v>161</v>
      </c>
      <c r="G21" s="184">
        <f>D11/1000</f>
        <v>0.03</v>
      </c>
      <c r="H21" s="128" t="s">
        <v>279</v>
      </c>
      <c r="J21" s="158"/>
      <c r="K21" s="156"/>
      <c r="L21" s="3"/>
      <c r="M21" s="3"/>
      <c r="N21" s="3"/>
      <c r="O21" s="4"/>
    </row>
    <row r="22" spans="1:15" ht="16" x14ac:dyDescent="0.2">
      <c r="A22" s="313"/>
      <c r="C22" s="29" t="s">
        <v>166</v>
      </c>
      <c r="D22" s="186">
        <f>PI()*(D21^2)/4</f>
        <v>7.8539816339744835E-3</v>
      </c>
      <c r="E22" s="187" t="s">
        <v>280</v>
      </c>
      <c r="F22" s="188" t="s">
        <v>167</v>
      </c>
      <c r="G22" s="186">
        <f>PI()*(G21^2)/4</f>
        <v>7.0685834705770342E-4</v>
      </c>
      <c r="H22" s="128" t="s">
        <v>280</v>
      </c>
      <c r="J22" s="158"/>
      <c r="K22" s="156"/>
      <c r="L22" s="3"/>
      <c r="M22" s="3"/>
      <c r="N22" s="3"/>
      <c r="O22" s="4"/>
    </row>
    <row r="23" spans="1:15" ht="16" x14ac:dyDescent="0.2">
      <c r="A23" s="313"/>
      <c r="C23" s="29" t="s">
        <v>168</v>
      </c>
      <c r="D23" s="186">
        <f>G21/D21</f>
        <v>0.3</v>
      </c>
      <c r="E23" s="190"/>
      <c r="F23" s="188" t="s">
        <v>221</v>
      </c>
      <c r="G23" s="242">
        <f>(GasPressure-G11)/GasPressure</f>
        <v>0.97528162223871928</v>
      </c>
      <c r="H23" s="131"/>
      <c r="J23" s="158"/>
      <c r="K23" s="156"/>
      <c r="L23" s="3"/>
      <c r="M23" s="3"/>
      <c r="N23" s="3"/>
      <c r="O23" s="4"/>
    </row>
    <row r="24" spans="1:15" x14ac:dyDescent="0.2">
      <c r="A24" s="313"/>
      <c r="C24" s="29" t="s">
        <v>170</v>
      </c>
      <c r="D24" s="186">
        <f>IF(F16="as cast",0.984,IF(F16="machined",0.995,0.985))</f>
        <v>0.98399999999999999</v>
      </c>
      <c r="E24" s="190"/>
      <c r="F24" s="188" t="s">
        <v>172</v>
      </c>
      <c r="G24" s="194">
        <f>G9/D22</f>
        <v>7.6394372684109753</v>
      </c>
      <c r="H24" s="128" t="s">
        <v>295</v>
      </c>
      <c r="J24" s="157" t="s">
        <v>349</v>
      </c>
      <c r="K24" s="156"/>
      <c r="L24" s="3"/>
      <c r="M24" s="3"/>
      <c r="N24" s="3"/>
      <c r="O24" s="4"/>
    </row>
    <row r="25" spans="1:15" ht="16" x14ac:dyDescent="0.2">
      <c r="A25" s="313"/>
      <c r="C25" s="29" t="s">
        <v>205</v>
      </c>
      <c r="D25" s="238">
        <f>GasPressure*MolecularWeight/(CompressibilityFactor*D30*(GasTemperature+273.15))</f>
        <v>4.4904388593289406</v>
      </c>
      <c r="E25" s="187" t="s">
        <v>281</v>
      </c>
      <c r="F25" s="188" t="s">
        <v>174</v>
      </c>
      <c r="G25" s="195">
        <f>D21*G24*(D25)/Viscosity</f>
        <v>304808.67877765623</v>
      </c>
      <c r="H25" s="138"/>
      <c r="J25" s="240" t="s">
        <v>311</v>
      </c>
      <c r="K25" s="239"/>
      <c r="L25" s="321" t="s">
        <v>362</v>
      </c>
      <c r="M25" s="321"/>
      <c r="N25" s="321"/>
      <c r="O25" s="322"/>
    </row>
    <row r="26" spans="1:15" x14ac:dyDescent="0.2">
      <c r="A26" s="313"/>
      <c r="C26" s="185"/>
      <c r="D26" s="189"/>
      <c r="E26" s="190"/>
      <c r="F26" s="193" t="s">
        <v>231</v>
      </c>
      <c r="G26" s="189"/>
      <c r="H26" s="131"/>
      <c r="J26" s="158"/>
      <c r="K26" s="156"/>
      <c r="L26" s="3"/>
      <c r="M26" s="3"/>
      <c r="N26" s="3"/>
      <c r="O26" s="4"/>
    </row>
    <row r="27" spans="1:15" ht="16" x14ac:dyDescent="0.2">
      <c r="A27" s="313"/>
      <c r="C27" s="29" t="s">
        <v>222</v>
      </c>
      <c r="D27" s="186">
        <f>((SpecificHeatRatio*(G23^(2/SpecificHeatRatio))/(SpecificHeatRatio-1))*((1-(D23^4))/(1-(D23^4)*(G23^(2/SpecificHeatRatio))))*((1-(G23^((SpecificHeatRatio-1)/SpecificHeatRatio)))/(1-G23)))^0.5</f>
        <v>0.98571774373770338</v>
      </c>
      <c r="E27" s="190"/>
      <c r="F27" s="249" t="s">
        <v>230</v>
      </c>
      <c r="G27" s="192">
        <f>(((G9/(D24*G22*D27))^2)-(9.81*2*(G13/1000)/(1-(D23^4))))*(GasPressure*MolecularWeight*(1-D23^4)/(2*CompressibilityFactor*D30*(GasTemperature+273.15)))</f>
        <v>17055.680655287961</v>
      </c>
      <c r="H27" s="138" t="s">
        <v>283</v>
      </c>
      <c r="J27" s="158"/>
      <c r="K27" s="156"/>
      <c r="L27" s="3"/>
      <c r="M27" s="3"/>
      <c r="N27" s="3"/>
      <c r="O27" s="4"/>
    </row>
    <row r="28" spans="1:15" x14ac:dyDescent="0.2">
      <c r="A28" s="313"/>
      <c r="C28" s="29"/>
      <c r="D28" s="190"/>
      <c r="E28" s="190"/>
      <c r="F28" s="188"/>
      <c r="G28" s="189"/>
      <c r="H28" s="131"/>
      <c r="J28" s="155"/>
      <c r="K28" s="156"/>
      <c r="L28" s="3"/>
      <c r="M28" s="3"/>
      <c r="N28" s="3"/>
      <c r="O28" s="4"/>
    </row>
    <row r="29" spans="1:15" x14ac:dyDescent="0.2">
      <c r="A29" s="313"/>
      <c r="C29" s="29" t="s">
        <v>219</v>
      </c>
      <c r="D29" s="189"/>
      <c r="E29" s="190" t="s">
        <v>232</v>
      </c>
      <c r="F29" s="193"/>
      <c r="G29" s="189"/>
      <c r="H29" s="131"/>
      <c r="J29" s="158"/>
      <c r="K29" s="156"/>
      <c r="L29" s="3"/>
      <c r="M29" s="3"/>
      <c r="N29" s="3"/>
      <c r="O29" s="4"/>
    </row>
    <row r="30" spans="1:15" ht="16" x14ac:dyDescent="0.2">
      <c r="A30" s="313"/>
      <c r="C30" s="29" t="s">
        <v>220</v>
      </c>
      <c r="D30" s="186">
        <v>8.3145000000000007</v>
      </c>
      <c r="E30" s="188" t="s">
        <v>233</v>
      </c>
      <c r="F30" s="188"/>
      <c r="G30" s="186">
        <f>(G11*1000)-G27</f>
        <v>-4.2564352042973042E-9</v>
      </c>
      <c r="H30" s="138" t="s">
        <v>283</v>
      </c>
      <c r="J30" s="158"/>
      <c r="K30" s="156"/>
      <c r="L30" s="3"/>
      <c r="M30" s="3"/>
      <c r="N30" s="3"/>
      <c r="O30" s="4"/>
    </row>
    <row r="31" spans="1:15" ht="16" x14ac:dyDescent="0.2">
      <c r="A31" s="313"/>
      <c r="C31" s="29"/>
      <c r="D31" s="191" t="s">
        <v>294</v>
      </c>
      <c r="E31" s="26"/>
      <c r="F31" s="193"/>
      <c r="G31" s="189"/>
      <c r="H31" s="131"/>
      <c r="J31" s="158" t="s">
        <v>287</v>
      </c>
      <c r="K31" s="156"/>
      <c r="L31" s="3"/>
      <c r="M31" s="3"/>
      <c r="N31" s="3"/>
      <c r="O31" s="4"/>
    </row>
    <row r="32" spans="1:15" ht="17" thickBot="1" x14ac:dyDescent="0.25">
      <c r="A32" s="313"/>
      <c r="C32" s="244"/>
      <c r="D32" s="245"/>
      <c r="E32" s="246"/>
      <c r="F32" s="196"/>
      <c r="G32" s="180"/>
      <c r="H32" s="181"/>
      <c r="J32" s="158" t="s">
        <v>207</v>
      </c>
      <c r="K32" s="156"/>
      <c r="L32" s="3"/>
      <c r="M32" s="3"/>
      <c r="N32" s="3"/>
      <c r="O32" s="4"/>
    </row>
    <row r="33" spans="1:15" ht="16" x14ac:dyDescent="0.2">
      <c r="A33" s="313"/>
      <c r="J33" s="158" t="s">
        <v>348</v>
      </c>
      <c r="K33" s="156"/>
      <c r="L33" s="3"/>
      <c r="M33" s="3"/>
      <c r="N33" s="3"/>
      <c r="O33" s="4"/>
    </row>
    <row r="34" spans="1:15" ht="16" x14ac:dyDescent="0.2">
      <c r="A34" s="313"/>
      <c r="C34" s="197" t="s">
        <v>320</v>
      </c>
      <c r="J34" s="158" t="s">
        <v>288</v>
      </c>
      <c r="K34" s="156"/>
      <c r="L34" s="3"/>
      <c r="M34" s="3"/>
      <c r="N34" s="3"/>
      <c r="O34" s="4"/>
    </row>
    <row r="35" spans="1:15" ht="16" x14ac:dyDescent="0.2">
      <c r="A35" s="313"/>
      <c r="C35" s="197" t="s">
        <v>321</v>
      </c>
      <c r="J35" s="158" t="s">
        <v>289</v>
      </c>
      <c r="K35" s="156"/>
      <c r="L35" s="3"/>
      <c r="M35" s="3"/>
      <c r="N35" s="3"/>
      <c r="O35" s="4"/>
    </row>
    <row r="36" spans="1:15" x14ac:dyDescent="0.2">
      <c r="A36" s="313"/>
      <c r="C36" s="250" t="s">
        <v>322</v>
      </c>
      <c r="J36" s="158" t="s">
        <v>208</v>
      </c>
      <c r="K36" s="156"/>
      <c r="L36" s="3"/>
      <c r="M36" s="3"/>
      <c r="N36" s="3"/>
      <c r="O36" s="4"/>
    </row>
    <row r="37" spans="1:15" ht="16" x14ac:dyDescent="0.2">
      <c r="A37" s="313"/>
      <c r="C37" s="250" t="s">
        <v>324</v>
      </c>
      <c r="J37" s="158" t="s">
        <v>209</v>
      </c>
      <c r="K37" s="156"/>
      <c r="L37" s="3"/>
      <c r="M37" s="3"/>
      <c r="N37" s="3"/>
      <c r="O37" s="4"/>
    </row>
    <row r="38" spans="1:15" x14ac:dyDescent="0.2">
      <c r="A38" s="313"/>
      <c r="C38" s="250" t="s">
        <v>323</v>
      </c>
      <c r="J38" s="241" t="s">
        <v>290</v>
      </c>
      <c r="K38" s="156"/>
      <c r="L38" s="3"/>
      <c r="M38" s="3"/>
      <c r="N38" s="3"/>
      <c r="O38" s="4"/>
    </row>
    <row r="39" spans="1:15" ht="16" x14ac:dyDescent="0.2">
      <c r="A39" s="313"/>
      <c r="C39" s="250" t="s">
        <v>325</v>
      </c>
      <c r="J39" s="158" t="s">
        <v>211</v>
      </c>
      <c r="K39" s="156"/>
      <c r="L39" s="3"/>
      <c r="M39" s="3"/>
      <c r="N39" s="3"/>
      <c r="O39" s="4"/>
    </row>
    <row r="40" spans="1:15" ht="16" x14ac:dyDescent="0.2">
      <c r="J40" s="158" t="s">
        <v>291</v>
      </c>
      <c r="K40" s="156"/>
      <c r="L40" s="3"/>
      <c r="M40" s="3"/>
      <c r="N40" s="3"/>
      <c r="O40" s="4"/>
    </row>
    <row r="41" spans="1:15" ht="19" thickBot="1" x14ac:dyDescent="0.25">
      <c r="A41" s="301" t="s">
        <v>175</v>
      </c>
      <c r="C41" s="182" t="s">
        <v>176</v>
      </c>
      <c r="J41" s="158" t="s">
        <v>210</v>
      </c>
      <c r="K41" s="156"/>
      <c r="L41" s="3"/>
      <c r="M41" s="3"/>
      <c r="N41" s="3"/>
      <c r="O41" s="4"/>
    </row>
    <row r="42" spans="1:15" ht="16" thickBot="1" x14ac:dyDescent="0.25">
      <c r="A42" s="301"/>
      <c r="C42" s="161"/>
      <c r="D42" s="198"/>
      <c r="E42" s="198"/>
      <c r="F42" s="198"/>
      <c r="G42" s="199"/>
      <c r="J42" s="204" t="s">
        <v>292</v>
      </c>
      <c r="K42" s="156"/>
      <c r="L42" s="3"/>
      <c r="M42" s="3"/>
      <c r="N42" s="3"/>
      <c r="O42" s="4"/>
    </row>
    <row r="43" spans="1:15" ht="21" thickBot="1" x14ac:dyDescent="0.3">
      <c r="A43" s="301"/>
      <c r="C43" s="29" t="s">
        <v>241</v>
      </c>
      <c r="D43" s="189"/>
      <c r="E43" s="190"/>
      <c r="F43" s="200">
        <f>IF(G47="yes",IF(ABS(G30)&lt;=0.001,G11,"Redo Goal Seek"),"ISO cond. not met")</f>
        <v>17.055680655283705</v>
      </c>
      <c r="G43" s="201" t="s">
        <v>274</v>
      </c>
      <c r="J43" s="204" t="s">
        <v>296</v>
      </c>
      <c r="K43" s="156"/>
      <c r="L43" s="3"/>
      <c r="M43" s="3"/>
      <c r="N43" s="3"/>
      <c r="O43" s="4"/>
    </row>
    <row r="44" spans="1:15" ht="17" thickBot="1" x14ac:dyDescent="0.25">
      <c r="A44" s="301"/>
      <c r="C44" s="202" t="s">
        <v>178</v>
      </c>
      <c r="D44" s="191"/>
      <c r="E44" s="190"/>
      <c r="F44" s="190"/>
      <c r="G44" s="203"/>
      <c r="J44" s="204"/>
      <c r="K44" s="156"/>
      <c r="L44" s="3"/>
      <c r="M44" s="3"/>
      <c r="N44" s="3"/>
      <c r="O44" s="4"/>
    </row>
    <row r="45" spans="1:15" ht="20" thickBot="1" x14ac:dyDescent="0.25">
      <c r="A45" s="301"/>
      <c r="C45" s="205" t="s">
        <v>179</v>
      </c>
      <c r="D45" s="191"/>
      <c r="E45" s="190"/>
      <c r="F45" s="206">
        <f>IF(F16="as cast",0.007,IF(F16="machined",0.01,0.015))</f>
        <v>7.0000000000000001E-3</v>
      </c>
      <c r="G45" s="203"/>
      <c r="J45" s="157"/>
      <c r="K45" s="156"/>
      <c r="L45" s="3"/>
      <c r="M45" s="3"/>
      <c r="N45" s="3"/>
      <c r="O45" s="4"/>
    </row>
    <row r="46" spans="1:15" ht="16" thickBot="1" x14ac:dyDescent="0.25">
      <c r="A46" s="301"/>
      <c r="C46" s="167" t="s">
        <v>180</v>
      </c>
      <c r="D46" s="191"/>
      <c r="E46" s="190"/>
      <c r="F46" s="190"/>
      <c r="G46" s="203"/>
      <c r="J46" s="157"/>
      <c r="K46" s="156"/>
      <c r="L46" s="3"/>
      <c r="M46" s="3"/>
      <c r="N46" s="3"/>
      <c r="O46" s="4"/>
    </row>
    <row r="47" spans="1:15" ht="17" thickBot="1" x14ac:dyDescent="0.25">
      <c r="A47" s="301"/>
      <c r="C47" s="205" t="s">
        <v>181</v>
      </c>
      <c r="D47" s="189"/>
      <c r="E47" s="190"/>
      <c r="F47" s="188"/>
      <c r="G47" s="207" t="str">
        <f>IF(D57="no","no",IF(G57="no","no",IF(D59="no","no",IF(G59="no","no",IF(D61="no","no",IF(G61="no","no","yes"))))))</f>
        <v>yes</v>
      </c>
      <c r="J47" s="158"/>
      <c r="K47" s="156"/>
      <c r="L47" s="3"/>
      <c r="M47" s="3"/>
      <c r="N47" s="3"/>
      <c r="O47" s="4"/>
    </row>
    <row r="48" spans="1:15" x14ac:dyDescent="0.2">
      <c r="A48" s="301"/>
      <c r="C48" s="167" t="s">
        <v>313</v>
      </c>
      <c r="D48" s="166"/>
      <c r="E48" s="144"/>
      <c r="F48" s="144"/>
      <c r="G48" s="208"/>
      <c r="J48" s="158"/>
      <c r="K48" s="156"/>
      <c r="L48" s="3"/>
      <c r="M48" s="3"/>
      <c r="N48" s="3"/>
      <c r="O48" s="4"/>
    </row>
    <row r="49" spans="1:15" ht="16" thickBot="1" x14ac:dyDescent="0.25">
      <c r="A49" s="301"/>
      <c r="C49" s="209"/>
      <c r="D49" s="210"/>
      <c r="E49" s="123"/>
      <c r="F49" s="123"/>
      <c r="G49" s="211"/>
      <c r="J49" s="158"/>
      <c r="K49" s="156"/>
      <c r="L49" s="3"/>
      <c r="M49" s="3"/>
      <c r="N49" s="3"/>
      <c r="O49" s="4"/>
    </row>
    <row r="50" spans="1:15" x14ac:dyDescent="0.2">
      <c r="J50" s="158"/>
      <c r="K50" s="156"/>
      <c r="L50" s="3"/>
      <c r="M50" s="3"/>
      <c r="N50" s="3"/>
      <c r="O50" s="4"/>
    </row>
    <row r="51" spans="1:15" ht="16" thickBot="1" x14ac:dyDescent="0.25">
      <c r="A51" s="301" t="s">
        <v>185</v>
      </c>
      <c r="C51" s="212" t="s">
        <v>186</v>
      </c>
      <c r="D51" s="213"/>
      <c r="E51" s="213"/>
      <c r="F51" s="213"/>
      <c r="G51" s="213"/>
      <c r="H51" s="213"/>
      <c r="J51" s="204" t="s">
        <v>206</v>
      </c>
      <c r="K51" s="156"/>
      <c r="L51" s="3"/>
      <c r="M51" s="3"/>
      <c r="N51" s="3"/>
      <c r="O51" s="4"/>
    </row>
    <row r="52" spans="1:15" ht="16" x14ac:dyDescent="0.2">
      <c r="A52" s="301"/>
      <c r="C52" s="183"/>
      <c r="D52" s="214"/>
      <c r="E52" s="215"/>
      <c r="F52" s="111"/>
      <c r="G52" s="214"/>
      <c r="H52" s="216"/>
      <c r="J52" s="204" t="s">
        <v>212</v>
      </c>
      <c r="K52" s="156"/>
      <c r="L52" s="3"/>
      <c r="M52" s="3"/>
      <c r="N52" s="3"/>
      <c r="O52" s="4"/>
    </row>
    <row r="53" spans="1:15" ht="16" x14ac:dyDescent="0.2">
      <c r="A53" s="301"/>
      <c r="C53" s="217" t="s">
        <v>189</v>
      </c>
      <c r="D53" s="218">
        <f>IF($F$16="as cast",100,IF($F$16="machined",20,200))</f>
        <v>100</v>
      </c>
      <c r="E53" s="219" t="s">
        <v>276</v>
      </c>
      <c r="F53" s="220" t="s">
        <v>190</v>
      </c>
      <c r="G53" s="218">
        <f>IF($F$16="as cast",800,IF($F$16="machined",250,1200))</f>
        <v>800</v>
      </c>
      <c r="H53" s="221" t="s">
        <v>276</v>
      </c>
      <c r="J53" s="204" t="s">
        <v>213</v>
      </c>
      <c r="K53" s="156"/>
      <c r="L53" s="3"/>
      <c r="M53" s="3"/>
      <c r="N53" s="3"/>
      <c r="O53" s="4"/>
    </row>
    <row r="54" spans="1:15" ht="16" x14ac:dyDescent="0.2">
      <c r="A54" s="301"/>
      <c r="C54" s="217" t="s">
        <v>191</v>
      </c>
      <c r="D54" s="222">
        <f>IF($F$16="as cast",0.3,IF($F$16="machined",0.4,0.4))</f>
        <v>0.3</v>
      </c>
      <c r="E54" s="219"/>
      <c r="F54" s="220" t="s">
        <v>192</v>
      </c>
      <c r="G54" s="222">
        <f>IF($F$16="as cast",0.75,IF($F$16="machined",0.75,0.7))</f>
        <v>0.75</v>
      </c>
      <c r="H54" s="223"/>
      <c r="J54" s="204" t="s">
        <v>214</v>
      </c>
      <c r="K54" s="156"/>
      <c r="L54" s="3"/>
      <c r="M54" s="3"/>
      <c r="N54" s="3"/>
      <c r="O54" s="4"/>
    </row>
    <row r="55" spans="1:15" ht="16" x14ac:dyDescent="0.2">
      <c r="A55" s="301"/>
      <c r="C55" s="217" t="s">
        <v>193</v>
      </c>
      <c r="D55" s="224">
        <v>200000</v>
      </c>
      <c r="E55" s="219"/>
      <c r="F55" s="220" t="s">
        <v>194</v>
      </c>
      <c r="G55" s="224">
        <f>IF($F$16="as cast",2000000,IF($F$16="machined",1000000,2000000))</f>
        <v>2000000</v>
      </c>
      <c r="H55" s="221"/>
      <c r="J55" s="158"/>
      <c r="K55" s="156"/>
      <c r="L55" s="3"/>
      <c r="M55" s="3"/>
      <c r="N55" s="3"/>
      <c r="O55" s="4"/>
    </row>
    <row r="56" spans="1:15" x14ac:dyDescent="0.2">
      <c r="A56" s="301"/>
      <c r="C56" s="167"/>
      <c r="D56" s="225"/>
      <c r="E56" s="226"/>
      <c r="F56" s="227"/>
      <c r="G56" s="225"/>
      <c r="H56" s="228"/>
      <c r="J56" s="158"/>
      <c r="K56" s="156"/>
      <c r="L56" s="3"/>
      <c r="M56" s="3"/>
      <c r="N56" s="3"/>
      <c r="O56" s="4"/>
    </row>
    <row r="57" spans="1:15" ht="16" x14ac:dyDescent="0.2">
      <c r="A57" s="301"/>
      <c r="C57" s="217" t="s">
        <v>195</v>
      </c>
      <c r="D57" s="229" t="str">
        <f>IF(D9&gt;=D53,"yes","no")</f>
        <v>yes</v>
      </c>
      <c r="E57" s="219"/>
      <c r="F57" s="220" t="s">
        <v>196</v>
      </c>
      <c r="G57" s="229" t="str">
        <f>IF(D9&lt;=G53,"yes","no")</f>
        <v>yes</v>
      </c>
      <c r="H57" s="221"/>
      <c r="J57" s="158"/>
      <c r="K57" s="156"/>
      <c r="L57" s="3"/>
      <c r="M57" s="3"/>
      <c r="N57" s="3"/>
      <c r="O57" s="4"/>
    </row>
    <row r="58" spans="1:15" x14ac:dyDescent="0.2">
      <c r="A58" s="301"/>
      <c r="C58" s="167"/>
      <c r="D58" s="230"/>
      <c r="E58" s="226"/>
      <c r="F58" s="227"/>
      <c r="G58" s="230"/>
      <c r="H58" s="228"/>
      <c r="J58" s="158"/>
      <c r="K58" s="156"/>
      <c r="L58" s="3"/>
      <c r="M58" s="3"/>
      <c r="N58" s="3"/>
      <c r="O58" s="4"/>
    </row>
    <row r="59" spans="1:15" ht="16" x14ac:dyDescent="0.2">
      <c r="A59" s="301"/>
      <c r="C59" s="217" t="s">
        <v>197</v>
      </c>
      <c r="D59" s="229" t="str">
        <f>IF(D23&gt;=D54,"yes","no")</f>
        <v>yes</v>
      </c>
      <c r="E59" s="219"/>
      <c r="F59" s="220" t="s">
        <v>198</v>
      </c>
      <c r="G59" s="229" t="str">
        <f>IF(D23&lt;=G54,"yes","no")</f>
        <v>yes</v>
      </c>
      <c r="H59" s="223"/>
      <c r="J59" s="157"/>
      <c r="K59" s="156"/>
      <c r="L59" s="3"/>
      <c r="M59" s="3"/>
      <c r="N59" s="3"/>
      <c r="O59" s="4"/>
    </row>
    <row r="60" spans="1:15" x14ac:dyDescent="0.2">
      <c r="A60" s="301"/>
      <c r="C60" s="167"/>
      <c r="D60" s="230"/>
      <c r="E60" s="226"/>
      <c r="F60" s="227"/>
      <c r="G60" s="230"/>
      <c r="H60" s="228"/>
      <c r="J60" s="158" t="s">
        <v>183</v>
      </c>
      <c r="K60" s="156"/>
      <c r="L60" s="3"/>
      <c r="M60" s="3"/>
      <c r="N60" s="3"/>
      <c r="O60" s="4"/>
    </row>
    <row r="61" spans="1:15" ht="16" x14ac:dyDescent="0.2">
      <c r="A61" s="301"/>
      <c r="C61" s="217" t="s">
        <v>199</v>
      </c>
      <c r="D61" s="231" t="str">
        <f>IF(G25&gt;=D55,"yes","no")</f>
        <v>yes</v>
      </c>
      <c r="E61" s="219"/>
      <c r="F61" s="220" t="s">
        <v>200</v>
      </c>
      <c r="G61" s="229" t="str">
        <f>IF(G25&lt;=G55,"yes","no")</f>
        <v>yes</v>
      </c>
      <c r="H61" s="221"/>
      <c r="J61" s="158"/>
      <c r="K61" s="156"/>
      <c r="L61" s="3"/>
      <c r="M61" s="3"/>
      <c r="N61" s="3"/>
      <c r="O61" s="4"/>
    </row>
    <row r="62" spans="1:15" ht="16" thickBot="1" x14ac:dyDescent="0.25">
      <c r="A62" s="301"/>
      <c r="C62" s="209"/>
      <c r="D62" s="232"/>
      <c r="E62" s="124"/>
      <c r="F62" s="233"/>
      <c r="G62" s="232"/>
      <c r="H62" s="234"/>
      <c r="J62" s="158" t="s">
        <v>184</v>
      </c>
      <c r="K62" s="156"/>
      <c r="L62" s="3"/>
      <c r="M62" s="3"/>
      <c r="N62" s="3"/>
      <c r="O62" s="4"/>
    </row>
    <row r="63" spans="1:15" ht="16" thickBot="1" x14ac:dyDescent="0.25">
      <c r="A63" s="301"/>
      <c r="J63" s="158" t="s">
        <v>187</v>
      </c>
      <c r="K63" s="156"/>
      <c r="L63" s="3"/>
      <c r="M63" s="3"/>
      <c r="N63" s="3"/>
      <c r="O63" s="4"/>
    </row>
    <row r="64" spans="1:15" x14ac:dyDescent="0.2">
      <c r="A64" s="301"/>
      <c r="C64" s="183"/>
      <c r="D64" s="109"/>
      <c r="E64" s="110"/>
      <c r="F64" s="111"/>
      <c r="G64" s="109"/>
      <c r="H64" s="112"/>
      <c r="J64" s="158" t="s">
        <v>188</v>
      </c>
      <c r="K64" s="156"/>
      <c r="L64" s="3"/>
      <c r="M64" s="3"/>
      <c r="N64" s="3"/>
      <c r="O64" s="4"/>
    </row>
    <row r="65" spans="1:15" ht="17" thickBot="1" x14ac:dyDescent="0.25">
      <c r="A65" s="301"/>
      <c r="C65" s="235" t="s">
        <v>201</v>
      </c>
      <c r="D65" s="172"/>
      <c r="E65" s="172"/>
      <c r="F65" s="236"/>
      <c r="G65" s="172"/>
      <c r="H65" s="128"/>
      <c r="J65" s="11"/>
      <c r="K65" s="12"/>
      <c r="L65" s="12"/>
      <c r="M65" s="12"/>
      <c r="N65" s="12"/>
      <c r="O65" s="13"/>
    </row>
    <row r="66" spans="1:15" ht="16" x14ac:dyDescent="0.2">
      <c r="A66" s="301"/>
      <c r="C66" s="235" t="s">
        <v>202</v>
      </c>
      <c r="D66" s="144"/>
      <c r="E66" s="144"/>
      <c r="F66" s="26"/>
      <c r="G66" s="144"/>
      <c r="H66" s="131"/>
    </row>
    <row r="67" spans="1:15" ht="16" x14ac:dyDescent="0.2">
      <c r="A67" s="301"/>
      <c r="C67" s="235" t="s">
        <v>203</v>
      </c>
      <c r="D67" s="172"/>
      <c r="E67" s="172"/>
      <c r="F67" s="236"/>
      <c r="G67" s="172"/>
      <c r="H67" s="138"/>
    </row>
    <row r="68" spans="1:15" ht="16" x14ac:dyDescent="0.2">
      <c r="A68" s="301"/>
      <c r="C68" s="235" t="s">
        <v>204</v>
      </c>
      <c r="D68" s="172"/>
      <c r="E68" s="172"/>
      <c r="F68" s="236"/>
      <c r="G68" s="172"/>
      <c r="H68" s="138"/>
    </row>
    <row r="69" spans="1:15" ht="16" thickBot="1" x14ac:dyDescent="0.25">
      <c r="A69" s="301"/>
      <c r="C69" s="30"/>
      <c r="D69" s="180"/>
      <c r="E69" s="31"/>
      <c r="F69" s="196"/>
      <c r="G69" s="180"/>
      <c r="H69" s="181"/>
    </row>
    <row r="73" spans="1:15" x14ac:dyDescent="0.2">
      <c r="C73" s="20" t="s">
        <v>16</v>
      </c>
    </row>
    <row r="160" spans="1:1" x14ac:dyDescent="0.2">
      <c r="A160" t="s">
        <v>164</v>
      </c>
    </row>
    <row r="161" spans="1:1" x14ac:dyDescent="0.2">
      <c r="A161" t="s">
        <v>217</v>
      </c>
    </row>
    <row r="162" spans="1:1" x14ac:dyDescent="0.2">
      <c r="A162" t="s">
        <v>218</v>
      </c>
    </row>
  </sheetData>
  <sheetProtection sheet="1" objects="1" scenarios="1" formatCells="0"/>
  <mergeCells count="11">
    <mergeCell ref="J6:N6"/>
    <mergeCell ref="J11:M11"/>
    <mergeCell ref="L25:O25"/>
    <mergeCell ref="A41:A49"/>
    <mergeCell ref="J8:O8"/>
    <mergeCell ref="A51:A69"/>
    <mergeCell ref="C2:H2"/>
    <mergeCell ref="C3:H3"/>
    <mergeCell ref="F16:H16"/>
    <mergeCell ref="A6:A17"/>
    <mergeCell ref="A19:A39"/>
  </mergeCells>
  <dataValidations count="3">
    <dataValidation type="list" allowBlank="1" showInputMessage="1" showErrorMessage="1" sqref="F16:H16" xr:uid="{00000000-0002-0000-0400-000000000000}">
      <formula1>$A$160:$A$162</formula1>
    </dataValidation>
    <dataValidation operator="greaterThanOrEqual" allowBlank="1" showInputMessage="1" showErrorMessage="1" errorTitle="Invalid Entry" error="Please enter a value greater than zero._x000a_" sqref="G13" xr:uid="{00000000-0002-0000-0400-000001000000}"/>
    <dataValidation type="decimal" operator="greaterThanOrEqual" allowBlank="1" showInputMessage="1" showErrorMessage="1" errorTitle="Invalid Entry" error="Please enter a value greater than zero._x000a_" sqref="D9 G9 D11 G11" xr:uid="{00000000-0002-0000-0400-000002000000}">
      <formula1>0</formula1>
    </dataValidation>
  </dataValidations>
  <hyperlinks>
    <hyperlink ref="J11" r:id="rId1" display="  Piping Handbook, Seventh Ed., Table E2.1M - S.I. units" xr:uid="{00000000-0004-0000-0400-000002000000}"/>
    <hyperlink ref="J11:K11" r:id="rId2" location="p2000b0d5982E_23001" display="Piping Handbook, Seventh Ed., Table E2.1M" xr:uid="{00000000-0004-0000-0400-000003000000}"/>
    <hyperlink ref="J11:L11" r:id="rId3" display="  Piping Handbook, Seventh Ed., Table E2.1M - S.I. units" xr:uid="{00000000-0004-0000-0400-000004000000}"/>
    <hyperlink ref="J11:M11" r:id="rId4" display="  Piping Handbook, Seventh Ed., Table E2.1M - S.I. units" xr:uid="{00000000-0004-0000-0400-000005000000}"/>
    <hyperlink ref="J6:N6" r:id="rId5" location="c9780071834087ch08lev2sec43" display="   Perry's Chemical Engineers' Handbook, 9th Ed, Sec. 8.8.4, Flow Measurements" xr:uid="{AC459EC7-3BD7-4CC5-95FD-7F2A1420FF7A}"/>
    <hyperlink ref="J8:N8" r:id="rId6" location="p200139d899710_15001" display="   Perry's Chemical Engineers' Handbook, 8th Ed, Sec. 10.1.12, Differential Pressure Flowmeters" xr:uid="{3CCB390F-AE22-4240-B857-A778AC16C1A7}"/>
    <hyperlink ref="L25:O25" r:id="rId7" location="ch10eq25" display="   Perry's Chemical Engineers' Handbook, 9th Ed, Equation 10-25 )" xr:uid="{F733C5FE-55A5-442D-9A9B-3303C208D9C9}"/>
  </hyperlinks>
  <pageMargins left="0.7" right="0.7" top="0.75" bottom="0.75" header="0.3" footer="0.3"/>
  <pageSetup orientation="portrait" horizontalDpi="0" verticalDpi="0" r:id="rId8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showGridLines="0" workbookViewId="0"/>
  </sheetViews>
  <sheetFormatPr baseColWidth="10" defaultColWidth="8.83203125" defaultRowHeight="15" x14ac:dyDescent="0.2"/>
  <cols>
    <col min="1" max="1" width="7.5" customWidth="1"/>
    <col min="2" max="2" width="5.5" customWidth="1"/>
    <col min="3" max="3" width="23.6640625" customWidth="1"/>
    <col min="4" max="4" width="10.5" customWidth="1"/>
    <col min="6" max="6" width="24.1640625" customWidth="1"/>
    <col min="7" max="7" width="11.5" customWidth="1"/>
    <col min="8" max="8" width="11.33203125" customWidth="1"/>
    <col min="10" max="10" width="13.33203125" customWidth="1"/>
    <col min="11" max="11" width="14" customWidth="1"/>
    <col min="12" max="12" width="15.5" customWidth="1"/>
    <col min="13" max="13" width="14.5" customWidth="1"/>
    <col min="14" max="14" width="25.33203125" customWidth="1"/>
    <col min="15" max="15" width="17" customWidth="1"/>
  </cols>
  <sheetData>
    <row r="1" spans="1:15" ht="16" thickBot="1" x14ac:dyDescent="0.25"/>
    <row r="2" spans="1:15" ht="23.25" customHeight="1" x14ac:dyDescent="0.2">
      <c r="C2" s="289" t="s">
        <v>297</v>
      </c>
      <c r="D2" s="290"/>
      <c r="E2" s="290"/>
      <c r="F2" s="290"/>
      <c r="G2" s="290"/>
      <c r="H2" s="291"/>
      <c r="J2" s="153"/>
      <c r="K2" s="154" t="s">
        <v>150</v>
      </c>
      <c r="L2" s="7"/>
      <c r="M2" s="154"/>
      <c r="N2" s="7"/>
      <c r="O2" s="8"/>
    </row>
    <row r="3" spans="1:15" ht="18" x14ac:dyDescent="0.2">
      <c r="C3" s="295" t="s">
        <v>236</v>
      </c>
      <c r="D3" s="296"/>
      <c r="E3" s="296"/>
      <c r="F3" s="296"/>
      <c r="G3" s="296"/>
      <c r="H3" s="297"/>
      <c r="J3" s="155"/>
      <c r="K3" s="156"/>
      <c r="L3" s="3"/>
      <c r="M3" s="3"/>
      <c r="N3" s="3"/>
      <c r="O3" s="4"/>
    </row>
    <row r="4" spans="1:15" ht="16" thickBot="1" x14ac:dyDescent="0.25">
      <c r="C4" s="11"/>
      <c r="D4" s="12"/>
      <c r="E4" s="12"/>
      <c r="F4" s="12"/>
      <c r="G4" s="12"/>
      <c r="H4" s="13"/>
      <c r="J4" s="157" t="s">
        <v>152</v>
      </c>
      <c r="K4" s="156"/>
      <c r="L4" s="3"/>
      <c r="M4" s="3"/>
      <c r="N4" s="3"/>
      <c r="O4" s="4"/>
    </row>
    <row r="5" spans="1:15" x14ac:dyDescent="0.2">
      <c r="J5" s="158"/>
      <c r="K5" s="156"/>
      <c r="L5" s="3"/>
      <c r="M5" s="3"/>
      <c r="N5" s="3"/>
      <c r="O5" s="4"/>
    </row>
    <row r="6" spans="1:15" ht="18" customHeight="1" x14ac:dyDescent="0.2">
      <c r="A6" s="301" t="s">
        <v>153</v>
      </c>
      <c r="C6" s="159" t="s">
        <v>154</v>
      </c>
      <c r="E6" s="160"/>
      <c r="F6" t="s">
        <v>155</v>
      </c>
      <c r="J6" s="323" t="s">
        <v>360</v>
      </c>
      <c r="K6" s="324"/>
      <c r="L6" s="324"/>
      <c r="M6" s="324"/>
      <c r="N6" s="324"/>
      <c r="O6" s="4"/>
    </row>
    <row r="7" spans="1:15" ht="17" thickBot="1" x14ac:dyDescent="0.25">
      <c r="A7" s="301"/>
      <c r="E7" s="160"/>
      <c r="J7" s="158"/>
      <c r="K7" s="156"/>
      <c r="L7" s="3"/>
      <c r="M7" s="3"/>
      <c r="N7" s="3"/>
      <c r="O7" s="4"/>
    </row>
    <row r="8" spans="1:15" x14ac:dyDescent="0.2">
      <c r="A8" s="301"/>
      <c r="C8" s="161"/>
      <c r="D8" s="162"/>
      <c r="E8" s="162"/>
      <c r="F8" s="162"/>
      <c r="G8" s="162"/>
      <c r="H8" s="163"/>
      <c r="J8" s="323" t="s">
        <v>361</v>
      </c>
      <c r="K8" s="324"/>
      <c r="L8" s="324"/>
      <c r="M8" s="324"/>
      <c r="N8" s="324"/>
      <c r="O8" s="330"/>
    </row>
    <row r="9" spans="1:15" x14ac:dyDescent="0.2">
      <c r="A9" s="301"/>
      <c r="C9" s="29" t="s">
        <v>156</v>
      </c>
      <c r="D9" s="164">
        <v>150</v>
      </c>
      <c r="E9" s="172" t="s">
        <v>276</v>
      </c>
      <c r="F9" s="26" t="s">
        <v>161</v>
      </c>
      <c r="G9" s="164">
        <v>50</v>
      </c>
      <c r="H9" s="128" t="s">
        <v>276</v>
      </c>
      <c r="J9" s="158"/>
      <c r="K9" s="156"/>
      <c r="L9" s="3"/>
      <c r="M9" s="3"/>
      <c r="N9" s="3"/>
      <c r="O9" s="4"/>
    </row>
    <row r="10" spans="1:15" x14ac:dyDescent="0.2">
      <c r="A10" s="301"/>
      <c r="C10" s="167" t="s">
        <v>157</v>
      </c>
      <c r="D10" s="166"/>
      <c r="E10" s="144"/>
      <c r="F10" s="247"/>
      <c r="G10" s="166"/>
      <c r="H10" s="131"/>
      <c r="J10" s="168" t="s">
        <v>159</v>
      </c>
      <c r="K10" s="169"/>
      <c r="L10" s="169"/>
      <c r="M10" s="169"/>
      <c r="N10" s="169"/>
      <c r="O10" s="4"/>
    </row>
    <row r="11" spans="1:15" x14ac:dyDescent="0.2">
      <c r="A11" s="301"/>
      <c r="C11" s="178"/>
      <c r="D11" s="166"/>
      <c r="E11" s="144"/>
      <c r="F11" s="26" t="s">
        <v>158</v>
      </c>
      <c r="G11" s="166"/>
      <c r="H11" s="131"/>
      <c r="J11" s="325" t="s">
        <v>312</v>
      </c>
      <c r="K11" s="326"/>
      <c r="L11" s="326"/>
      <c r="M11" s="326"/>
      <c r="N11" s="3"/>
      <c r="O11" s="4"/>
    </row>
    <row r="12" spans="1:15" ht="16" x14ac:dyDescent="0.2">
      <c r="A12" s="301"/>
      <c r="C12" s="29" t="s">
        <v>237</v>
      </c>
      <c r="D12" s="252">
        <v>0.98399999999999999</v>
      </c>
      <c r="E12" s="172"/>
      <c r="F12" s="137" t="s">
        <v>169</v>
      </c>
      <c r="G12" s="170">
        <v>6.9</v>
      </c>
      <c r="H12" s="171" t="s">
        <v>274</v>
      </c>
      <c r="J12" s="158"/>
      <c r="K12" s="156"/>
      <c r="L12" s="3"/>
      <c r="M12" s="3"/>
      <c r="N12" s="3"/>
      <c r="O12" s="4"/>
    </row>
    <row r="13" spans="1:15" x14ac:dyDescent="0.2">
      <c r="A13" s="301"/>
      <c r="C13" s="175"/>
      <c r="D13" s="166"/>
      <c r="E13" s="144"/>
      <c r="F13" s="26"/>
      <c r="G13" s="166"/>
      <c r="H13" s="128"/>
      <c r="J13" s="158"/>
      <c r="K13" s="156"/>
      <c r="L13" s="3"/>
      <c r="M13" s="3"/>
      <c r="N13" s="3"/>
      <c r="O13" s="4"/>
    </row>
    <row r="14" spans="1:15" ht="16" x14ac:dyDescent="0.2">
      <c r="A14" s="301"/>
      <c r="C14" s="173" t="s">
        <v>309</v>
      </c>
      <c r="D14" s="166"/>
      <c r="E14" s="144"/>
      <c r="F14" s="26"/>
      <c r="G14" s="170">
        <v>0</v>
      </c>
      <c r="H14" s="171" t="s">
        <v>162</v>
      </c>
      <c r="J14" s="174"/>
      <c r="K14" s="156"/>
      <c r="L14" s="3"/>
      <c r="M14" s="3"/>
      <c r="N14" s="3"/>
      <c r="O14" s="4"/>
    </row>
    <row r="15" spans="1:15" ht="16" x14ac:dyDescent="0.2">
      <c r="A15" s="301"/>
      <c r="C15" s="175" t="s">
        <v>163</v>
      </c>
      <c r="D15" s="166"/>
      <c r="E15" s="144"/>
      <c r="F15" s="26"/>
      <c r="G15" s="166"/>
      <c r="H15" s="128"/>
      <c r="J15" s="158"/>
      <c r="K15" s="156"/>
      <c r="L15" s="3"/>
      <c r="M15" s="3"/>
      <c r="N15" s="3"/>
      <c r="O15" s="4"/>
    </row>
    <row r="16" spans="1:15" ht="16" thickBot="1" x14ac:dyDescent="0.25">
      <c r="A16" s="301"/>
      <c r="C16" s="253"/>
      <c r="D16" s="122"/>
      <c r="E16" s="123"/>
      <c r="F16" s="31"/>
      <c r="G16" s="122"/>
      <c r="H16" s="125"/>
      <c r="J16" s="158"/>
      <c r="K16" s="156"/>
      <c r="L16" s="3"/>
      <c r="M16" s="3"/>
      <c r="N16" s="3"/>
      <c r="O16" s="4"/>
    </row>
    <row r="17" spans="1:15" ht="23.25" customHeight="1" x14ac:dyDescent="0.2">
      <c r="J17" s="158"/>
      <c r="K17" s="156"/>
      <c r="L17" s="3"/>
      <c r="M17" s="3"/>
      <c r="N17" s="3"/>
      <c r="O17" s="4"/>
    </row>
    <row r="18" spans="1:15" ht="19" thickBot="1" x14ac:dyDescent="0.25">
      <c r="A18" s="313" t="s">
        <v>165</v>
      </c>
      <c r="C18" s="182" t="s">
        <v>38</v>
      </c>
      <c r="J18" s="158"/>
      <c r="K18" s="156"/>
      <c r="L18" s="3"/>
      <c r="M18" s="3"/>
      <c r="N18" s="3"/>
      <c r="O18" s="4"/>
    </row>
    <row r="19" spans="1:15" x14ac:dyDescent="0.2">
      <c r="A19" s="313"/>
      <c r="C19" s="183"/>
      <c r="D19" s="109"/>
      <c r="E19" s="110"/>
      <c r="F19" s="111"/>
      <c r="G19" s="109"/>
      <c r="H19" s="112"/>
      <c r="J19" s="155"/>
      <c r="K19" s="156"/>
      <c r="L19" s="3"/>
      <c r="M19" s="3"/>
      <c r="N19" s="3"/>
      <c r="O19" s="4"/>
    </row>
    <row r="20" spans="1:15" x14ac:dyDescent="0.2">
      <c r="A20" s="313"/>
      <c r="C20" s="29" t="s">
        <v>156</v>
      </c>
      <c r="D20" s="147">
        <f>D9/1000</f>
        <v>0.15</v>
      </c>
      <c r="E20" s="172" t="s">
        <v>279</v>
      </c>
      <c r="F20" s="26" t="s">
        <v>161</v>
      </c>
      <c r="G20" s="184">
        <f>G9/1000</f>
        <v>0.05</v>
      </c>
      <c r="H20" s="128" t="s">
        <v>279</v>
      </c>
      <c r="J20" s="158"/>
      <c r="K20" s="156"/>
      <c r="L20" s="3"/>
      <c r="M20" s="3"/>
      <c r="N20" s="3"/>
      <c r="O20" s="4"/>
    </row>
    <row r="21" spans="1:15" ht="16" x14ac:dyDescent="0.2">
      <c r="A21" s="313"/>
      <c r="C21" s="29" t="s">
        <v>166</v>
      </c>
      <c r="D21" s="186">
        <f>PI()*(D20^2)/4</f>
        <v>1.7671458676442587E-2</v>
      </c>
      <c r="E21" s="187" t="s">
        <v>280</v>
      </c>
      <c r="F21" s="188" t="s">
        <v>167</v>
      </c>
      <c r="G21" s="186">
        <f>PI()*(G20^2)/4</f>
        <v>1.9634954084936209E-3</v>
      </c>
      <c r="H21" s="128" t="s">
        <v>280</v>
      </c>
      <c r="J21" s="158"/>
      <c r="K21" s="156"/>
      <c r="L21" s="3"/>
      <c r="M21" s="3"/>
      <c r="N21" s="3"/>
      <c r="O21" s="4"/>
    </row>
    <row r="22" spans="1:15" x14ac:dyDescent="0.2">
      <c r="A22" s="313"/>
      <c r="C22" s="29" t="s">
        <v>168</v>
      </c>
      <c r="D22" s="186">
        <f>G20/D20</f>
        <v>0.33333333333333337</v>
      </c>
      <c r="E22" s="190"/>
      <c r="F22" s="188" t="s">
        <v>158</v>
      </c>
      <c r="G22" s="189"/>
      <c r="H22" s="131"/>
      <c r="J22" s="158"/>
      <c r="K22" s="156"/>
      <c r="L22" s="3"/>
      <c r="M22" s="3"/>
      <c r="N22" s="3"/>
      <c r="O22" s="4"/>
    </row>
    <row r="23" spans="1:15" ht="16" x14ac:dyDescent="0.2">
      <c r="A23" s="313"/>
      <c r="C23" s="29"/>
      <c r="D23" s="190"/>
      <c r="E23" s="190"/>
      <c r="F23" s="188" t="s">
        <v>169</v>
      </c>
      <c r="G23" s="192">
        <f>G12*1000</f>
        <v>6900</v>
      </c>
      <c r="H23" s="138" t="s">
        <v>283</v>
      </c>
      <c r="J23" s="158"/>
      <c r="K23" s="156"/>
      <c r="L23" s="3"/>
      <c r="M23" s="3"/>
      <c r="N23" s="3"/>
      <c r="O23" s="4"/>
    </row>
    <row r="24" spans="1:15" ht="16" x14ac:dyDescent="0.2">
      <c r="A24" s="313"/>
      <c r="C24" s="29" t="s">
        <v>205</v>
      </c>
      <c r="D24" s="242">
        <f>GasPressure*MolecularWeight/(CompressibilityFactor*D29*(GasTemperature+273.15))</f>
        <v>4.4904388593289406</v>
      </c>
      <c r="E24" s="187" t="s">
        <v>281</v>
      </c>
      <c r="F24" s="188" t="s">
        <v>221</v>
      </c>
      <c r="G24" s="194">
        <f>(GasPressure-G12)/GasPressure</f>
        <v>0.99</v>
      </c>
      <c r="H24" s="138"/>
      <c r="J24" s="157" t="s">
        <v>347</v>
      </c>
      <c r="K24" s="156"/>
      <c r="L24" s="3"/>
      <c r="M24" s="3"/>
      <c r="N24" s="3"/>
      <c r="O24" s="4"/>
    </row>
    <row r="25" spans="1:15" ht="17" thickBot="1" x14ac:dyDescent="0.25">
      <c r="A25" s="313"/>
      <c r="C25" s="185"/>
      <c r="D25" s="189"/>
      <c r="E25" s="190"/>
      <c r="F25" s="193"/>
      <c r="G25" s="189"/>
      <c r="H25" s="131"/>
      <c r="J25" s="240" t="s">
        <v>311</v>
      </c>
      <c r="K25" s="239"/>
      <c r="L25" s="321" t="s">
        <v>362</v>
      </c>
      <c r="M25" s="321"/>
      <c r="N25" s="321"/>
      <c r="O25" s="322"/>
    </row>
    <row r="26" spans="1:15" ht="18" thickBot="1" x14ac:dyDescent="0.25">
      <c r="A26" s="313"/>
      <c r="C26" s="29" t="s">
        <v>222</v>
      </c>
      <c r="D26" s="186">
        <f>((SpecificHeatRatio*(G24^(2/SpecificHeatRatio))/(SpecificHeatRatio-1))*((1-(D22^4))/(1-(D22^4)*(G24^(2/SpecificHeatRatio))))*((1-(G24^((SpecificHeatRatio-1)/SpecificHeatRatio)))/(1-G24)))^0.5</f>
        <v>0.99420998460203835</v>
      </c>
      <c r="E26" s="190"/>
      <c r="F26" s="188" t="s">
        <v>171</v>
      </c>
      <c r="G26" s="280">
        <f>D12*G21*D26*((((2*CompressibilityFactor*D29*(GasTemperature+273.15)*G23)/(MolecularWeight*GasPressure*(1-D22^4)))+(9.81*2*(G14/1000)/(1-(D22^4))))^0.5)</f>
        <v>0.10715088790927794</v>
      </c>
      <c r="H26" s="138" t="s">
        <v>300</v>
      </c>
      <c r="J26" s="158"/>
      <c r="K26" s="156"/>
      <c r="L26" s="3"/>
      <c r="M26" s="3"/>
      <c r="N26" s="3"/>
      <c r="O26" s="4"/>
    </row>
    <row r="27" spans="1:15" x14ac:dyDescent="0.2">
      <c r="A27" s="313"/>
      <c r="C27" s="29"/>
      <c r="D27" s="189"/>
      <c r="E27" s="190"/>
      <c r="F27" s="190"/>
      <c r="G27" s="189"/>
      <c r="H27" s="131"/>
      <c r="J27" s="158"/>
      <c r="K27" s="156"/>
      <c r="L27" s="3"/>
      <c r="M27" s="3"/>
      <c r="N27" s="3"/>
      <c r="O27" s="4"/>
    </row>
    <row r="28" spans="1:15" x14ac:dyDescent="0.2">
      <c r="A28" s="313"/>
      <c r="C28" s="29" t="s">
        <v>219</v>
      </c>
      <c r="D28" s="189"/>
      <c r="E28" s="190"/>
      <c r="F28" s="188" t="s">
        <v>172</v>
      </c>
      <c r="G28" s="194">
        <f>G26/D21</f>
        <v>6.0634998995367777</v>
      </c>
      <c r="H28" s="128" t="s">
        <v>295</v>
      </c>
      <c r="J28" s="155"/>
      <c r="K28" s="156"/>
      <c r="L28" s="3"/>
      <c r="M28" s="3"/>
      <c r="N28" s="3"/>
      <c r="O28" s="4"/>
    </row>
    <row r="29" spans="1:15" ht="18.75" customHeight="1" x14ac:dyDescent="0.2">
      <c r="A29" s="313"/>
      <c r="C29" s="29" t="s">
        <v>220</v>
      </c>
      <c r="D29" s="242">
        <v>8.3145000000000007</v>
      </c>
      <c r="E29" s="190" t="s">
        <v>282</v>
      </c>
      <c r="F29" s="188"/>
      <c r="G29" s="189"/>
      <c r="H29" s="131"/>
      <c r="J29" s="158"/>
      <c r="K29" s="156"/>
      <c r="L29" s="3"/>
      <c r="M29" s="3"/>
      <c r="N29" s="3"/>
      <c r="O29" s="4"/>
    </row>
    <row r="30" spans="1:15" x14ac:dyDescent="0.2">
      <c r="A30" s="313"/>
      <c r="C30" s="29"/>
      <c r="D30" s="191"/>
      <c r="E30" s="26"/>
      <c r="F30" s="188" t="s">
        <v>174</v>
      </c>
      <c r="G30" s="195">
        <f>D20*G28*D24/Viscosity</f>
        <v>362894.67303866387</v>
      </c>
      <c r="H30" s="138"/>
      <c r="J30" s="158"/>
      <c r="K30" s="156"/>
      <c r="L30" s="3"/>
      <c r="M30" s="3"/>
      <c r="N30" s="3"/>
      <c r="O30" s="4"/>
    </row>
    <row r="31" spans="1:15" ht="17" thickBot="1" x14ac:dyDescent="0.25">
      <c r="A31" s="313"/>
      <c r="C31" s="244"/>
      <c r="D31" s="245"/>
      <c r="E31" s="246"/>
      <c r="F31" s="254" t="s">
        <v>229</v>
      </c>
      <c r="G31" s="180"/>
      <c r="H31" s="181"/>
      <c r="J31" s="158" t="s">
        <v>287</v>
      </c>
      <c r="K31" s="156"/>
      <c r="L31" s="3"/>
      <c r="M31" s="3"/>
      <c r="N31" s="3"/>
      <c r="O31" s="4"/>
    </row>
    <row r="32" spans="1:15" ht="16" x14ac:dyDescent="0.2">
      <c r="J32" s="158" t="s">
        <v>207</v>
      </c>
      <c r="K32" s="156"/>
      <c r="L32" s="3"/>
      <c r="M32" s="3"/>
      <c r="N32" s="3"/>
      <c r="O32" s="4"/>
    </row>
    <row r="33" spans="3:15" ht="16" x14ac:dyDescent="0.2">
      <c r="J33" s="158" t="s">
        <v>348</v>
      </c>
      <c r="K33" s="156"/>
      <c r="L33" s="3"/>
      <c r="M33" s="3"/>
      <c r="N33" s="3"/>
      <c r="O33" s="4"/>
    </row>
    <row r="34" spans="3:15" ht="16" x14ac:dyDescent="0.2">
      <c r="J34" s="158" t="s">
        <v>288</v>
      </c>
      <c r="K34" s="156"/>
      <c r="L34" s="3"/>
      <c r="M34" s="3"/>
      <c r="N34" s="3"/>
      <c r="O34" s="4"/>
    </row>
    <row r="35" spans="3:15" ht="16" x14ac:dyDescent="0.2">
      <c r="J35" s="158" t="s">
        <v>289</v>
      </c>
      <c r="K35" s="156"/>
      <c r="L35" s="3"/>
      <c r="M35" s="3"/>
      <c r="N35" s="3"/>
      <c r="O35" s="4"/>
    </row>
    <row r="36" spans="3:15" ht="18.75" customHeight="1" x14ac:dyDescent="0.2">
      <c r="C36" s="20" t="s">
        <v>16</v>
      </c>
      <c r="J36" s="158" t="s">
        <v>208</v>
      </c>
      <c r="K36" s="156"/>
      <c r="L36" s="3"/>
      <c r="M36" s="3"/>
      <c r="N36" s="3"/>
      <c r="O36" s="4"/>
    </row>
    <row r="37" spans="3:15" ht="16" x14ac:dyDescent="0.2">
      <c r="J37" s="158" t="s">
        <v>209</v>
      </c>
      <c r="K37" s="156"/>
      <c r="L37" s="3"/>
      <c r="M37" s="3"/>
      <c r="N37" s="3"/>
      <c r="O37" s="4"/>
    </row>
    <row r="38" spans="3:15" x14ac:dyDescent="0.2">
      <c r="J38" s="241" t="s">
        <v>290</v>
      </c>
      <c r="K38" s="156"/>
      <c r="L38" s="3"/>
      <c r="M38" s="3"/>
      <c r="N38" s="3"/>
      <c r="O38" s="4"/>
    </row>
    <row r="39" spans="3:15" x14ac:dyDescent="0.2">
      <c r="J39" s="158" t="s">
        <v>211</v>
      </c>
      <c r="K39" s="156"/>
      <c r="L39" s="3"/>
      <c r="M39" s="3"/>
      <c r="N39" s="3"/>
      <c r="O39" s="4"/>
    </row>
    <row r="40" spans="3:15" ht="16" x14ac:dyDescent="0.2">
      <c r="J40" s="158" t="s">
        <v>291</v>
      </c>
      <c r="K40" s="156"/>
      <c r="L40" s="3"/>
      <c r="M40" s="3"/>
      <c r="N40" s="3"/>
      <c r="O40" s="4"/>
    </row>
    <row r="41" spans="3:15" x14ac:dyDescent="0.2">
      <c r="J41" s="158" t="s">
        <v>210</v>
      </c>
      <c r="K41" s="156"/>
      <c r="L41" s="3"/>
      <c r="M41" s="3"/>
      <c r="N41" s="3"/>
      <c r="O41" s="4"/>
    </row>
    <row r="42" spans="3:15" x14ac:dyDescent="0.2">
      <c r="J42" s="204" t="s">
        <v>292</v>
      </c>
      <c r="K42" s="156"/>
      <c r="L42" s="3"/>
      <c r="M42" s="3"/>
      <c r="N42" s="3"/>
      <c r="O42" s="4"/>
    </row>
    <row r="43" spans="3:15" ht="16" x14ac:dyDescent="0.2">
      <c r="J43" s="204" t="s">
        <v>293</v>
      </c>
      <c r="K43" s="156"/>
      <c r="L43" s="3"/>
      <c r="M43" s="3"/>
      <c r="N43" s="3"/>
      <c r="O43" s="4"/>
    </row>
    <row r="44" spans="3:15" x14ac:dyDescent="0.2">
      <c r="J44" s="204"/>
      <c r="K44" s="156"/>
      <c r="L44" s="3"/>
      <c r="M44" s="3"/>
      <c r="N44" s="3"/>
      <c r="O44" s="4"/>
    </row>
    <row r="45" spans="3:15" x14ac:dyDescent="0.2">
      <c r="J45" s="157"/>
      <c r="K45" s="156"/>
      <c r="L45" s="3"/>
      <c r="M45" s="3"/>
      <c r="N45" s="3"/>
      <c r="O45" s="4"/>
    </row>
    <row r="46" spans="3:15" ht="15.75" customHeight="1" x14ac:dyDescent="0.2">
      <c r="J46" s="157"/>
      <c r="K46" s="156"/>
      <c r="L46" s="3"/>
      <c r="M46" s="3"/>
      <c r="N46" s="3"/>
      <c r="O46" s="4"/>
    </row>
    <row r="47" spans="3:15" x14ac:dyDescent="0.2">
      <c r="J47" s="158"/>
      <c r="K47" s="156"/>
      <c r="L47" s="3"/>
      <c r="M47" s="3"/>
      <c r="N47" s="3"/>
      <c r="O47" s="4"/>
    </row>
    <row r="48" spans="3:15" x14ac:dyDescent="0.2">
      <c r="J48" s="158"/>
      <c r="K48" s="156"/>
      <c r="L48" s="3"/>
      <c r="M48" s="3"/>
      <c r="N48" s="3"/>
      <c r="O48" s="4"/>
    </row>
    <row r="49" spans="10:15" x14ac:dyDescent="0.2">
      <c r="J49" s="158"/>
      <c r="K49" s="156"/>
      <c r="L49" s="3"/>
      <c r="M49" s="3"/>
      <c r="N49" s="3"/>
      <c r="O49" s="4"/>
    </row>
    <row r="50" spans="10:15" x14ac:dyDescent="0.2">
      <c r="J50" s="158"/>
      <c r="K50" s="156"/>
      <c r="L50" s="3"/>
      <c r="M50" s="3"/>
      <c r="N50" s="3"/>
      <c r="O50" s="4"/>
    </row>
    <row r="51" spans="10:15" x14ac:dyDescent="0.2">
      <c r="J51" s="204" t="s">
        <v>206</v>
      </c>
      <c r="K51" s="156"/>
      <c r="L51" s="3"/>
      <c r="M51" s="3"/>
      <c r="N51" s="3"/>
      <c r="O51" s="4"/>
    </row>
    <row r="52" spans="10:15" ht="16" x14ac:dyDescent="0.2">
      <c r="J52" s="204" t="s">
        <v>212</v>
      </c>
      <c r="K52" s="156"/>
      <c r="L52" s="3"/>
      <c r="M52" s="3"/>
      <c r="N52" s="3"/>
      <c r="O52" s="4"/>
    </row>
    <row r="53" spans="10:15" ht="16" x14ac:dyDescent="0.2">
      <c r="J53" s="204" t="s">
        <v>213</v>
      </c>
      <c r="K53" s="156"/>
      <c r="L53" s="3"/>
      <c r="M53" s="3"/>
      <c r="N53" s="3"/>
      <c r="O53" s="4"/>
    </row>
    <row r="54" spans="10:15" x14ac:dyDescent="0.2">
      <c r="J54" s="204" t="s">
        <v>214</v>
      </c>
      <c r="K54" s="156"/>
      <c r="L54" s="3"/>
      <c r="M54" s="3"/>
      <c r="N54" s="3"/>
      <c r="O54" s="4"/>
    </row>
    <row r="55" spans="10:15" x14ac:dyDescent="0.2">
      <c r="J55" s="158"/>
      <c r="K55" s="156"/>
      <c r="L55" s="3"/>
      <c r="M55" s="3"/>
      <c r="N55" s="3"/>
      <c r="O55" s="4"/>
    </row>
    <row r="56" spans="10:15" ht="16" thickBot="1" x14ac:dyDescent="0.25">
      <c r="J56" s="11"/>
      <c r="K56" s="12"/>
      <c r="L56" s="12"/>
      <c r="M56" s="12"/>
      <c r="N56" s="12"/>
      <c r="O56" s="13"/>
    </row>
    <row r="150" spans="1:1" x14ac:dyDescent="0.2">
      <c r="A150" t="s">
        <v>90</v>
      </c>
    </row>
    <row r="151" spans="1:1" x14ac:dyDescent="0.2">
      <c r="A151" t="s">
        <v>216</v>
      </c>
    </row>
  </sheetData>
  <sheetProtection sheet="1" objects="1" scenarios="1" formatCells="0"/>
  <mergeCells count="8">
    <mergeCell ref="C2:H2"/>
    <mergeCell ref="C3:H3"/>
    <mergeCell ref="A18:A31"/>
    <mergeCell ref="J6:N6"/>
    <mergeCell ref="J11:M11"/>
    <mergeCell ref="L25:O25"/>
    <mergeCell ref="A6:A16"/>
    <mergeCell ref="J8:O8"/>
  </mergeCells>
  <dataValidations count="2">
    <dataValidation type="decimal" operator="greaterThanOrEqual" allowBlank="1" showInputMessage="1" showErrorMessage="1" errorTitle="Invalid Entry" error="Please enter a value greater than zero._x000a_" sqref="D12 G12 G9 D9" xr:uid="{00000000-0002-0000-0500-000000000000}">
      <formula1>0</formula1>
    </dataValidation>
    <dataValidation operator="greaterThanOrEqual" allowBlank="1" showInputMessage="1" showErrorMessage="1" errorTitle="Invalid Entry" error="Please enter a value greater than zero._x000a_" sqref="G14" xr:uid="{00000000-0002-0000-0500-000001000000}"/>
  </dataValidations>
  <hyperlinks>
    <hyperlink ref="J11" r:id="rId1" display="  Piping Handbook, Seventh Ed., Table E2.1M - S.I. units" xr:uid="{00000000-0004-0000-0500-000002000000}"/>
    <hyperlink ref="J11:K11" r:id="rId2" location="p2000b0d5982E_23001" display="Piping Handbook, Seventh Ed., Table E2.1M" xr:uid="{00000000-0004-0000-0500-000003000000}"/>
    <hyperlink ref="J11:L11" r:id="rId3" display="  Piping Handbook, Seventh Ed., Table E2.1M - S.I. units" xr:uid="{00000000-0004-0000-0500-000004000000}"/>
    <hyperlink ref="J11:M11" r:id="rId4" display="  Piping Handbook, Seventh Ed., Table E2.1M - S.I. units" xr:uid="{00000000-0004-0000-0500-000005000000}"/>
    <hyperlink ref="J6:N6" r:id="rId5" location="c9780071834087ch08lev2sec43" display="   Perry's Chemical Engineers' Handbook, 9th Ed, Sec. 8.8.4, Flow Measurements" xr:uid="{1AAA1A7E-1134-4998-AD07-0F5FCC1D9A85}"/>
    <hyperlink ref="J8:N8" r:id="rId6" location="p200139d899710_15001" display="   Perry's Chemical Engineers' Handbook, 8th Ed, Sec. 10.1.12, Differential Pressure Flowmeters" xr:uid="{F2FE94E0-1C18-4DE1-BF3C-00A89280BE9C}"/>
    <hyperlink ref="L25:O25" r:id="rId7" location="ch10eq25" display="   Perry's Chemical Engineers' Handbook, 9th Ed, Equation 10-25 )" xr:uid="{9D38FAA6-36DA-400C-B84E-7C1320409E58}"/>
  </hyperlinks>
  <pageMargins left="0.7" right="0.7" top="0.75" bottom="0.75" header="0.3" footer="0.3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5"/>
  <sheetViews>
    <sheetView showGridLines="0" workbookViewId="0"/>
  </sheetViews>
  <sheetFormatPr baseColWidth="10" defaultColWidth="8.83203125" defaultRowHeight="15" x14ac:dyDescent="0.2"/>
  <cols>
    <col min="1" max="1" width="7.6640625" customWidth="1"/>
    <col min="2" max="2" width="5.5" customWidth="1"/>
    <col min="3" max="3" width="23.83203125" customWidth="1"/>
    <col min="4" max="4" width="10.5" customWidth="1"/>
    <col min="5" max="5" width="9.83203125" customWidth="1"/>
    <col min="6" max="6" width="24.6640625" customWidth="1"/>
    <col min="7" max="7" width="10.33203125" customWidth="1"/>
    <col min="8" max="8" width="10.5" customWidth="1"/>
    <col min="10" max="10" width="13.5" customWidth="1"/>
    <col min="11" max="11" width="15.33203125" customWidth="1"/>
    <col min="12" max="13" width="16.5" customWidth="1"/>
    <col min="14" max="14" width="20.6640625" customWidth="1"/>
    <col min="15" max="15" width="22.33203125" customWidth="1"/>
  </cols>
  <sheetData>
    <row r="1" spans="1:15" ht="16" thickBot="1" x14ac:dyDescent="0.25"/>
    <row r="2" spans="1:15" ht="23.25" customHeight="1" x14ac:dyDescent="0.2">
      <c r="C2" s="289" t="s">
        <v>298</v>
      </c>
      <c r="D2" s="290"/>
      <c r="E2" s="290"/>
      <c r="F2" s="290"/>
      <c r="G2" s="290"/>
      <c r="H2" s="291"/>
      <c r="J2" s="153"/>
      <c r="K2" s="154" t="s">
        <v>150</v>
      </c>
      <c r="L2" s="7"/>
      <c r="M2" s="154"/>
      <c r="N2" s="7"/>
      <c r="O2" s="8"/>
    </row>
    <row r="3" spans="1:15" ht="18" x14ac:dyDescent="0.2">
      <c r="C3" s="295" t="s">
        <v>236</v>
      </c>
      <c r="D3" s="296"/>
      <c r="E3" s="296"/>
      <c r="F3" s="296"/>
      <c r="G3" s="296"/>
      <c r="H3" s="297"/>
      <c r="J3" s="155"/>
      <c r="K3" s="156"/>
      <c r="L3" s="3"/>
      <c r="M3" s="3"/>
      <c r="N3" s="3"/>
      <c r="O3" s="4"/>
    </row>
    <row r="4" spans="1:15" ht="16" thickBot="1" x14ac:dyDescent="0.25">
      <c r="C4" s="11"/>
      <c r="D4" s="12"/>
      <c r="E4" s="12"/>
      <c r="F4" s="12"/>
      <c r="G4" s="12"/>
      <c r="H4" s="13"/>
      <c r="J4" s="157" t="s">
        <v>152</v>
      </c>
      <c r="K4" s="156"/>
      <c r="L4" s="3"/>
      <c r="M4" s="3"/>
      <c r="N4" s="3"/>
      <c r="O4" s="4"/>
    </row>
    <row r="5" spans="1:15" ht="16" x14ac:dyDescent="0.2">
      <c r="E5" s="25"/>
      <c r="F5" s="25"/>
      <c r="J5" s="158"/>
      <c r="K5" s="156"/>
      <c r="L5" s="3"/>
      <c r="M5" s="3"/>
      <c r="N5" s="3"/>
      <c r="O5" s="4"/>
    </row>
    <row r="6" spans="1:15" ht="18" customHeight="1" x14ac:dyDescent="0.2">
      <c r="A6" s="301" t="s">
        <v>153</v>
      </c>
      <c r="C6" s="159" t="s">
        <v>154</v>
      </c>
      <c r="E6" s="160"/>
      <c r="F6" t="s">
        <v>155</v>
      </c>
      <c r="J6" s="323" t="s">
        <v>360</v>
      </c>
      <c r="K6" s="324"/>
      <c r="L6" s="324"/>
      <c r="M6" s="324"/>
      <c r="N6" s="324"/>
      <c r="O6" s="4"/>
    </row>
    <row r="7" spans="1:15" ht="17" thickBot="1" x14ac:dyDescent="0.25">
      <c r="A7" s="301"/>
      <c r="E7" s="160"/>
      <c r="J7" s="158"/>
      <c r="K7" s="156"/>
      <c r="L7" s="3"/>
      <c r="M7" s="3"/>
      <c r="N7" s="3"/>
      <c r="O7" s="4"/>
    </row>
    <row r="8" spans="1:15" x14ac:dyDescent="0.2">
      <c r="A8" s="301"/>
      <c r="C8" s="161"/>
      <c r="D8" s="162"/>
      <c r="E8" s="162"/>
      <c r="F8" s="162"/>
      <c r="G8" s="162"/>
      <c r="H8" s="163"/>
      <c r="J8" s="323" t="s">
        <v>361</v>
      </c>
      <c r="K8" s="324"/>
      <c r="L8" s="324"/>
      <c r="M8" s="324"/>
      <c r="N8" s="324"/>
      <c r="O8" s="330"/>
    </row>
    <row r="9" spans="1:15" ht="17.25" customHeight="1" x14ac:dyDescent="0.2">
      <c r="A9" s="301"/>
      <c r="C9" s="29" t="s">
        <v>156</v>
      </c>
      <c r="D9" s="164">
        <v>100</v>
      </c>
      <c r="E9" s="172" t="s">
        <v>276</v>
      </c>
      <c r="F9" s="26" t="s">
        <v>223</v>
      </c>
      <c r="G9" s="251">
        <v>0.04</v>
      </c>
      <c r="H9" s="128" t="s">
        <v>284</v>
      </c>
      <c r="J9" s="158"/>
      <c r="K9" s="156"/>
      <c r="L9" s="3"/>
      <c r="M9" s="3"/>
      <c r="N9" s="3"/>
      <c r="O9" s="4"/>
    </row>
    <row r="10" spans="1:15" ht="19.5" customHeight="1" x14ac:dyDescent="0.2">
      <c r="A10" s="301"/>
      <c r="C10" s="167" t="s">
        <v>157</v>
      </c>
      <c r="D10" s="166"/>
      <c r="E10" s="144"/>
      <c r="F10" s="247" t="s">
        <v>224</v>
      </c>
      <c r="G10" s="166"/>
      <c r="H10" s="131"/>
      <c r="J10" s="168" t="s">
        <v>159</v>
      </c>
      <c r="K10" s="169"/>
      <c r="L10" s="169"/>
      <c r="M10" s="169"/>
      <c r="N10" s="169"/>
      <c r="O10" s="4"/>
    </row>
    <row r="11" spans="1:15" ht="17.25" customHeight="1" x14ac:dyDescent="0.2">
      <c r="A11" s="301"/>
      <c r="C11" s="185" t="s">
        <v>225</v>
      </c>
      <c r="D11" s="248">
        <v>2</v>
      </c>
      <c r="E11" s="187" t="s">
        <v>274</v>
      </c>
      <c r="F11" s="137" t="s">
        <v>226</v>
      </c>
      <c r="G11" s="248">
        <v>41.370364240622962</v>
      </c>
      <c r="H11" s="128" t="s">
        <v>276</v>
      </c>
      <c r="J11" s="325" t="s">
        <v>326</v>
      </c>
      <c r="K11" s="326"/>
      <c r="L11" s="326"/>
      <c r="M11" s="326"/>
      <c r="N11" s="3"/>
      <c r="O11" s="4"/>
    </row>
    <row r="12" spans="1:15" ht="21" customHeight="1" x14ac:dyDescent="0.2">
      <c r="A12" s="301"/>
      <c r="C12" s="167" t="s">
        <v>227</v>
      </c>
      <c r="D12" s="166"/>
      <c r="E12" s="144"/>
      <c r="F12" s="145" t="s">
        <v>228</v>
      </c>
      <c r="G12" s="166"/>
      <c r="H12" s="131"/>
      <c r="J12" s="158"/>
      <c r="K12" s="156"/>
      <c r="L12" s="3"/>
      <c r="M12" s="3"/>
      <c r="N12" s="3"/>
      <c r="O12" s="4"/>
    </row>
    <row r="13" spans="1:15" ht="17.25" customHeight="1" x14ac:dyDescent="0.2">
      <c r="A13" s="301"/>
      <c r="C13" s="29" t="s">
        <v>170</v>
      </c>
      <c r="D13" s="252">
        <v>0.98399999999999999</v>
      </c>
      <c r="E13" s="144"/>
      <c r="F13" s="26"/>
      <c r="G13" s="166"/>
      <c r="H13" s="128"/>
      <c r="J13" s="158"/>
      <c r="K13" s="156"/>
      <c r="L13" s="3"/>
      <c r="M13" s="3"/>
      <c r="N13" s="3"/>
      <c r="O13" s="4"/>
    </row>
    <row r="14" spans="1:15" ht="17.25" customHeight="1" x14ac:dyDescent="0.2">
      <c r="A14" s="301"/>
      <c r="C14" s="173" t="s">
        <v>327</v>
      </c>
      <c r="D14" s="166"/>
      <c r="E14" s="144"/>
      <c r="F14" s="26"/>
      <c r="G14" s="170">
        <v>0</v>
      </c>
      <c r="H14" s="171" t="s">
        <v>276</v>
      </c>
      <c r="J14" s="174"/>
      <c r="K14" s="156"/>
      <c r="L14" s="3"/>
      <c r="M14" s="3"/>
      <c r="N14" s="3"/>
      <c r="O14" s="4"/>
    </row>
    <row r="15" spans="1:15" ht="16" x14ac:dyDescent="0.2">
      <c r="A15" s="301"/>
      <c r="C15" s="175" t="s">
        <v>163</v>
      </c>
      <c r="D15" s="166"/>
      <c r="E15" s="144"/>
      <c r="F15" s="26"/>
      <c r="G15" s="166"/>
      <c r="H15" s="128"/>
      <c r="J15" s="158"/>
      <c r="K15" s="156"/>
      <c r="L15" s="3"/>
      <c r="M15" s="3"/>
      <c r="N15" s="3"/>
      <c r="O15" s="4"/>
    </row>
    <row r="16" spans="1:15" ht="18.75" customHeight="1" thickBot="1" x14ac:dyDescent="0.25">
      <c r="A16" s="301"/>
      <c r="C16" s="179"/>
      <c r="D16" s="122"/>
      <c r="E16" s="123"/>
      <c r="F16" s="31"/>
      <c r="G16" s="122"/>
      <c r="H16" s="125"/>
      <c r="J16" s="158"/>
      <c r="K16" s="156"/>
      <c r="L16" s="3"/>
      <c r="M16" s="3"/>
      <c r="N16" s="3"/>
      <c r="O16" s="4"/>
    </row>
    <row r="17" spans="1:15" ht="23.25" customHeight="1" x14ac:dyDescent="0.2">
      <c r="J17" s="158"/>
      <c r="K17" s="156"/>
      <c r="L17" s="3"/>
      <c r="M17" s="3"/>
      <c r="N17" s="3"/>
      <c r="O17" s="4"/>
    </row>
    <row r="18" spans="1:15" ht="19" thickBot="1" x14ac:dyDescent="0.25">
      <c r="A18" s="313" t="s">
        <v>165</v>
      </c>
      <c r="C18" s="255" t="s">
        <v>38</v>
      </c>
      <c r="J18" s="158"/>
      <c r="K18" s="156"/>
      <c r="L18" s="3"/>
      <c r="M18" s="3"/>
      <c r="N18" s="3"/>
      <c r="O18" s="4"/>
    </row>
    <row r="19" spans="1:15" x14ac:dyDescent="0.2">
      <c r="A19" s="313"/>
      <c r="C19" s="183"/>
      <c r="D19" s="109"/>
      <c r="E19" s="110"/>
      <c r="F19" s="111"/>
      <c r="G19" s="109"/>
      <c r="H19" s="112"/>
      <c r="J19" s="155"/>
      <c r="K19" s="156"/>
      <c r="L19" s="3"/>
      <c r="M19" s="3"/>
      <c r="N19" s="3"/>
      <c r="O19" s="4"/>
    </row>
    <row r="20" spans="1:15" x14ac:dyDescent="0.2">
      <c r="A20" s="313"/>
      <c r="C20" s="29" t="s">
        <v>156</v>
      </c>
      <c r="D20" s="147">
        <f>D9/1000</f>
        <v>0.1</v>
      </c>
      <c r="E20" s="172" t="s">
        <v>279</v>
      </c>
      <c r="F20" s="26" t="s">
        <v>161</v>
      </c>
      <c r="G20" s="184">
        <f>G11/1000</f>
        <v>4.1370364240622959E-2</v>
      </c>
      <c r="H20" s="128" t="s">
        <v>279</v>
      </c>
      <c r="J20" s="158"/>
      <c r="K20" s="156"/>
      <c r="L20" s="3"/>
      <c r="M20" s="3"/>
      <c r="N20" s="3"/>
      <c r="O20" s="4"/>
    </row>
    <row r="21" spans="1:15" ht="23.25" customHeight="1" x14ac:dyDescent="0.2">
      <c r="A21" s="313"/>
      <c r="C21" s="29" t="s">
        <v>166</v>
      </c>
      <c r="D21" s="186">
        <f>PI()*(D20^2)/4</f>
        <v>7.8539816339744835E-3</v>
      </c>
      <c r="E21" s="187" t="s">
        <v>280</v>
      </c>
      <c r="F21" s="188" t="s">
        <v>167</v>
      </c>
      <c r="G21" s="186">
        <f>PI()*(G20^2)/4</f>
        <v>1.3442144838171932E-3</v>
      </c>
      <c r="H21" s="128" t="s">
        <v>280</v>
      </c>
      <c r="J21" s="158"/>
      <c r="K21" s="156"/>
      <c r="L21" s="3"/>
      <c r="M21" s="3"/>
      <c r="N21" s="3"/>
      <c r="O21" s="4"/>
    </row>
    <row r="22" spans="1:15" ht="16" x14ac:dyDescent="0.2">
      <c r="A22" s="313"/>
      <c r="C22" s="29" t="s">
        <v>168</v>
      </c>
      <c r="D22" s="186">
        <f>G20/D20</f>
        <v>0.41370364240622959</v>
      </c>
      <c r="E22" s="190"/>
      <c r="F22" s="188" t="s">
        <v>221</v>
      </c>
      <c r="G22" s="194">
        <f>(GasPressure-D11)/GasPressure</f>
        <v>0.99710144927536237</v>
      </c>
      <c r="H22" s="131"/>
      <c r="J22" s="158"/>
      <c r="K22" s="156"/>
      <c r="L22" s="3"/>
      <c r="M22" s="3"/>
      <c r="N22" s="3"/>
      <c r="O22" s="4"/>
    </row>
    <row r="23" spans="1:15" x14ac:dyDescent="0.2">
      <c r="A23" s="313"/>
      <c r="C23" s="29"/>
      <c r="D23" s="186"/>
      <c r="E23" s="190"/>
      <c r="F23" s="188" t="s">
        <v>172</v>
      </c>
      <c r="G23" s="194">
        <f>G9/D21</f>
        <v>5.0929581789406502</v>
      </c>
      <c r="H23" s="128" t="s">
        <v>295</v>
      </c>
      <c r="J23" s="158"/>
      <c r="K23" s="156"/>
      <c r="L23" s="3"/>
      <c r="M23" s="3"/>
      <c r="N23" s="3"/>
      <c r="O23" s="4"/>
    </row>
    <row r="24" spans="1:15" ht="16" x14ac:dyDescent="0.2">
      <c r="A24" s="313"/>
      <c r="C24" s="29" t="s">
        <v>205</v>
      </c>
      <c r="D24" s="238">
        <f>GasPressure*MolecularWeight/(CompressibilityFactor*D29*(GasTemperature+273.15))</f>
        <v>4.4904388593289406</v>
      </c>
      <c r="E24" s="187" t="s">
        <v>281</v>
      </c>
      <c r="F24" s="188" t="s">
        <v>174</v>
      </c>
      <c r="G24" s="195">
        <f>D20*G23*(D24)/Viscosity</f>
        <v>203205.78585177084</v>
      </c>
      <c r="H24" s="138"/>
      <c r="J24" s="157" t="s">
        <v>349</v>
      </c>
      <c r="K24" s="156"/>
      <c r="L24" s="3"/>
      <c r="M24" s="3"/>
      <c r="N24" s="3"/>
      <c r="O24" s="4"/>
    </row>
    <row r="25" spans="1:15" ht="16" x14ac:dyDescent="0.2">
      <c r="A25" s="313"/>
      <c r="C25" s="185"/>
      <c r="D25" s="189"/>
      <c r="E25" s="190"/>
      <c r="F25" s="193" t="s">
        <v>231</v>
      </c>
      <c r="G25" s="189"/>
      <c r="H25" s="131"/>
      <c r="J25" s="240" t="s">
        <v>311</v>
      </c>
      <c r="K25" s="239"/>
      <c r="L25" s="321" t="s">
        <v>362</v>
      </c>
      <c r="M25" s="321"/>
      <c r="N25" s="321"/>
      <c r="O25" s="322"/>
    </row>
    <row r="26" spans="1:15" ht="16" x14ac:dyDescent="0.2">
      <c r="A26" s="313"/>
      <c r="C26" s="29" t="s">
        <v>222</v>
      </c>
      <c r="D26" s="186">
        <f>((SpecificHeatRatio*(G22^(2/SpecificHeatRatio))/(SpecificHeatRatio-1))*((1-(D22^4))/(1-(D22^4)*(G22^(2/SpecificHeatRatio))))*((1-(G22^((SpecificHeatRatio-1)/SpecificHeatRatio)))/(1-G22)))^0.5</f>
        <v>0.99828580056705074</v>
      </c>
      <c r="E26" s="190"/>
      <c r="F26" s="249" t="s">
        <v>230</v>
      </c>
      <c r="G26" s="186">
        <f>(((G9/(D13*G21*D26))^2)-(9.81*2*(G14/1000)/(1-(D22^4))))*(GasPressure*MolecularWeight*(1-D22^4)/(2*CompressibilityFactor*D29*(GasTemperature+273.15)))</f>
        <v>2000.0000457434098</v>
      </c>
      <c r="H26" s="138" t="s">
        <v>283</v>
      </c>
      <c r="J26" s="158"/>
      <c r="K26" s="156"/>
      <c r="L26" s="3"/>
      <c r="M26" s="3"/>
      <c r="N26" s="3"/>
      <c r="O26" s="4"/>
    </row>
    <row r="27" spans="1:15" x14ac:dyDescent="0.2">
      <c r="A27" s="313"/>
      <c r="C27" s="29"/>
      <c r="D27" s="189"/>
      <c r="E27" s="190"/>
      <c r="F27" s="188"/>
      <c r="G27" s="189"/>
      <c r="H27" s="131"/>
      <c r="J27" s="158"/>
      <c r="K27" s="156"/>
      <c r="L27" s="3"/>
      <c r="M27" s="3"/>
      <c r="N27" s="3"/>
      <c r="O27" s="4"/>
    </row>
    <row r="28" spans="1:15" x14ac:dyDescent="0.2">
      <c r="A28" s="313"/>
      <c r="C28" s="29" t="s">
        <v>219</v>
      </c>
      <c r="D28" s="189"/>
      <c r="E28" s="190" t="s">
        <v>232</v>
      </c>
      <c r="F28" s="193"/>
      <c r="G28" s="189"/>
      <c r="H28" s="131"/>
      <c r="J28" s="155"/>
      <c r="K28" s="156"/>
      <c r="L28" s="3"/>
      <c r="M28" s="3"/>
      <c r="N28" s="3"/>
      <c r="O28" s="4"/>
    </row>
    <row r="29" spans="1:15" ht="17" x14ac:dyDescent="0.2">
      <c r="A29" s="313"/>
      <c r="C29" s="29" t="s">
        <v>220</v>
      </c>
      <c r="D29" s="242">
        <v>8.3145000000000007</v>
      </c>
      <c r="E29" s="188" t="s">
        <v>233</v>
      </c>
      <c r="F29" s="188"/>
      <c r="G29" s="186">
        <f>(D11*1000)-G26</f>
        <v>-4.5743409827991854E-5</v>
      </c>
      <c r="H29" s="138" t="s">
        <v>242</v>
      </c>
      <c r="J29" s="158"/>
      <c r="K29" s="156"/>
      <c r="L29" s="3"/>
      <c r="M29" s="3"/>
      <c r="N29" s="3"/>
      <c r="O29" s="4"/>
    </row>
    <row r="30" spans="1:15" x14ac:dyDescent="0.2">
      <c r="A30" s="313"/>
      <c r="C30" s="29"/>
      <c r="D30" s="191" t="s">
        <v>294</v>
      </c>
      <c r="E30" s="26"/>
      <c r="F30" s="193"/>
      <c r="G30" s="189"/>
      <c r="H30" s="131"/>
      <c r="J30" s="158"/>
      <c r="K30" s="156"/>
      <c r="L30" s="3"/>
      <c r="M30" s="3"/>
      <c r="N30" s="3"/>
      <c r="O30" s="4"/>
    </row>
    <row r="31" spans="1:15" ht="17" thickBot="1" x14ac:dyDescent="0.25">
      <c r="A31" s="313"/>
      <c r="C31" s="244"/>
      <c r="D31" s="245"/>
      <c r="E31" s="246"/>
      <c r="F31" s="196"/>
      <c r="G31" s="180"/>
      <c r="H31" s="181"/>
      <c r="J31" s="158" t="s">
        <v>287</v>
      </c>
      <c r="K31" s="156"/>
      <c r="L31" s="3"/>
      <c r="M31" s="3"/>
      <c r="N31" s="3"/>
      <c r="O31" s="4"/>
    </row>
    <row r="32" spans="1:15" ht="16" x14ac:dyDescent="0.2">
      <c r="J32" s="158" t="s">
        <v>207</v>
      </c>
      <c r="K32" s="156"/>
      <c r="L32" s="3"/>
      <c r="M32" s="3"/>
      <c r="N32" s="3"/>
      <c r="O32" s="4"/>
    </row>
    <row r="33" spans="1:15" ht="16" x14ac:dyDescent="0.2">
      <c r="A33" s="313" t="s">
        <v>175</v>
      </c>
      <c r="C33" s="197" t="s">
        <v>315</v>
      </c>
      <c r="J33" s="158" t="s">
        <v>348</v>
      </c>
      <c r="K33" s="156"/>
      <c r="L33" s="3"/>
      <c r="M33" s="3"/>
      <c r="N33" s="3"/>
      <c r="O33" s="4"/>
    </row>
    <row r="34" spans="1:15" ht="16" x14ac:dyDescent="0.2">
      <c r="A34" s="313"/>
      <c r="C34" s="197" t="s">
        <v>328</v>
      </c>
      <c r="J34" s="158" t="s">
        <v>288</v>
      </c>
      <c r="K34" s="156"/>
      <c r="L34" s="3"/>
      <c r="M34" s="3"/>
      <c r="N34" s="3"/>
      <c r="O34" s="4"/>
    </row>
    <row r="35" spans="1:15" ht="16" x14ac:dyDescent="0.2">
      <c r="A35" s="313"/>
      <c r="C35" s="250" t="s">
        <v>329</v>
      </c>
      <c r="J35" s="158" t="s">
        <v>289</v>
      </c>
      <c r="K35" s="156"/>
      <c r="L35" s="3"/>
      <c r="M35" s="3"/>
      <c r="N35" s="3"/>
      <c r="O35" s="4"/>
    </row>
    <row r="36" spans="1:15" ht="15" customHeight="1" x14ac:dyDescent="0.2">
      <c r="A36" s="313"/>
      <c r="C36" s="250" t="s">
        <v>330</v>
      </c>
      <c r="J36" s="158" t="s">
        <v>208</v>
      </c>
      <c r="K36" s="156"/>
      <c r="L36" s="3"/>
      <c r="M36" s="3"/>
      <c r="N36" s="3"/>
      <c r="O36" s="4"/>
    </row>
    <row r="37" spans="1:15" ht="16" x14ac:dyDescent="0.2">
      <c r="A37" s="313"/>
      <c r="C37" s="250" t="s">
        <v>331</v>
      </c>
      <c r="J37" s="158" t="s">
        <v>209</v>
      </c>
      <c r="K37" s="156"/>
      <c r="L37" s="3"/>
      <c r="M37" s="3"/>
      <c r="N37" s="3"/>
      <c r="O37" s="4"/>
    </row>
    <row r="38" spans="1:15" x14ac:dyDescent="0.2">
      <c r="A38" s="313"/>
      <c r="C38" s="250" t="s">
        <v>318</v>
      </c>
      <c r="J38" s="241" t="s">
        <v>290</v>
      </c>
      <c r="K38" s="156"/>
      <c r="L38" s="3"/>
      <c r="M38" s="3"/>
      <c r="N38" s="3"/>
      <c r="O38" s="4"/>
    </row>
    <row r="39" spans="1:15" ht="16" thickBot="1" x14ac:dyDescent="0.25">
      <c r="A39" s="313"/>
      <c r="J39" s="158" t="s">
        <v>211</v>
      </c>
      <c r="K39" s="156"/>
      <c r="L39" s="3"/>
      <c r="M39" s="3"/>
      <c r="N39" s="3"/>
      <c r="O39" s="4"/>
    </row>
    <row r="40" spans="1:15" ht="17" thickBot="1" x14ac:dyDescent="0.25">
      <c r="A40" s="313"/>
      <c r="C40" s="161"/>
      <c r="D40" s="162"/>
      <c r="E40" s="162"/>
      <c r="F40" s="162"/>
      <c r="G40" s="163"/>
      <c r="J40" s="158" t="s">
        <v>291</v>
      </c>
      <c r="K40" s="156"/>
      <c r="L40" s="3"/>
      <c r="M40" s="3"/>
      <c r="N40" s="3"/>
      <c r="O40" s="4"/>
    </row>
    <row r="41" spans="1:15" ht="19" thickBot="1" x14ac:dyDescent="0.25">
      <c r="A41" s="313"/>
      <c r="C41" s="29" t="s">
        <v>238</v>
      </c>
      <c r="D41" s="134"/>
      <c r="E41" s="144"/>
      <c r="F41" s="200">
        <f>IF(ABS(G29)&lt;0.001,G11,"Redo Goal Seek")</f>
        <v>41.370364240622962</v>
      </c>
      <c r="G41" s="256" t="s">
        <v>162</v>
      </c>
      <c r="J41" s="158" t="s">
        <v>210</v>
      </c>
      <c r="K41" s="156"/>
      <c r="L41" s="3"/>
      <c r="M41" s="3"/>
      <c r="N41" s="3"/>
      <c r="O41" s="4"/>
    </row>
    <row r="42" spans="1:15" ht="16" thickBot="1" x14ac:dyDescent="0.25">
      <c r="A42" s="313"/>
      <c r="C42" s="30"/>
      <c r="D42" s="210"/>
      <c r="E42" s="123"/>
      <c r="F42" s="246"/>
      <c r="G42" s="211"/>
      <c r="J42" s="204" t="s">
        <v>292</v>
      </c>
      <c r="K42" s="156"/>
      <c r="L42" s="3"/>
      <c r="M42" s="3"/>
      <c r="N42" s="3"/>
      <c r="O42" s="4"/>
    </row>
    <row r="43" spans="1:15" ht="16" x14ac:dyDescent="0.2">
      <c r="J43" s="204" t="s">
        <v>293</v>
      </c>
      <c r="K43" s="156"/>
      <c r="L43" s="3"/>
      <c r="M43" s="3"/>
      <c r="N43" s="3"/>
      <c r="O43" s="4"/>
    </row>
    <row r="44" spans="1:15" ht="21.75" customHeight="1" x14ac:dyDescent="0.2">
      <c r="J44" s="204"/>
      <c r="K44" s="156"/>
      <c r="L44" s="3"/>
      <c r="M44" s="3"/>
      <c r="N44" s="3"/>
      <c r="O44" s="4"/>
    </row>
    <row r="45" spans="1:15" x14ac:dyDescent="0.2">
      <c r="J45" s="157"/>
      <c r="K45" s="156"/>
      <c r="L45" s="3"/>
      <c r="M45" s="3"/>
      <c r="N45" s="3"/>
      <c r="O45" s="4"/>
    </row>
    <row r="46" spans="1:15" x14ac:dyDescent="0.2">
      <c r="C46" s="20" t="s">
        <v>16</v>
      </c>
      <c r="J46" s="157"/>
      <c r="K46" s="156"/>
      <c r="L46" s="3"/>
      <c r="M46" s="3"/>
      <c r="N46" s="3"/>
      <c r="O46" s="4"/>
    </row>
    <row r="47" spans="1:15" x14ac:dyDescent="0.2">
      <c r="J47" s="158"/>
      <c r="K47" s="156"/>
      <c r="L47" s="3"/>
      <c r="M47" s="3"/>
      <c r="N47" s="3"/>
      <c r="O47" s="4"/>
    </row>
    <row r="48" spans="1:15" x14ac:dyDescent="0.2">
      <c r="J48" s="158"/>
      <c r="K48" s="156"/>
      <c r="L48" s="3"/>
      <c r="M48" s="3"/>
      <c r="N48" s="3"/>
      <c r="O48" s="4"/>
    </row>
    <row r="49" spans="10:15" x14ac:dyDescent="0.2">
      <c r="J49" s="158"/>
      <c r="K49" s="156"/>
      <c r="L49" s="3"/>
      <c r="M49" s="3"/>
      <c r="N49" s="3"/>
      <c r="O49" s="4"/>
    </row>
    <row r="50" spans="10:15" x14ac:dyDescent="0.2">
      <c r="J50" s="158"/>
      <c r="K50" s="156"/>
      <c r="L50" s="3"/>
      <c r="M50" s="3"/>
      <c r="N50" s="3"/>
      <c r="O50" s="4"/>
    </row>
    <row r="51" spans="10:15" x14ac:dyDescent="0.2">
      <c r="J51" s="204" t="s">
        <v>206</v>
      </c>
      <c r="K51" s="156"/>
      <c r="L51" s="3"/>
      <c r="M51" s="3"/>
      <c r="N51" s="3"/>
      <c r="O51" s="4"/>
    </row>
    <row r="52" spans="10:15" ht="16" x14ac:dyDescent="0.2">
      <c r="J52" s="204" t="s">
        <v>212</v>
      </c>
      <c r="K52" s="156"/>
      <c r="L52" s="3"/>
      <c r="M52" s="3"/>
      <c r="N52" s="3"/>
      <c r="O52" s="4"/>
    </row>
    <row r="53" spans="10:15" ht="16" x14ac:dyDescent="0.2">
      <c r="J53" s="204" t="s">
        <v>213</v>
      </c>
      <c r="K53" s="156"/>
      <c r="L53" s="3"/>
      <c r="M53" s="3"/>
      <c r="N53" s="3"/>
      <c r="O53" s="4"/>
    </row>
    <row r="54" spans="10:15" x14ac:dyDescent="0.2">
      <c r="J54" s="204" t="s">
        <v>214</v>
      </c>
      <c r="K54" s="156"/>
      <c r="L54" s="3"/>
      <c r="M54" s="3"/>
      <c r="N54" s="3"/>
      <c r="O54" s="4"/>
    </row>
    <row r="55" spans="10:15" ht="16" thickBot="1" x14ac:dyDescent="0.25">
      <c r="J55" s="11"/>
      <c r="K55" s="12"/>
      <c r="L55" s="12"/>
      <c r="M55" s="12"/>
      <c r="N55" s="12"/>
      <c r="O55" s="13"/>
    </row>
  </sheetData>
  <sheetProtection sheet="1" objects="1" scenarios="1" formatCells="0"/>
  <mergeCells count="9">
    <mergeCell ref="A18:A31"/>
    <mergeCell ref="A6:A16"/>
    <mergeCell ref="A33:A42"/>
    <mergeCell ref="J6:N6"/>
    <mergeCell ref="J11:M11"/>
    <mergeCell ref="L25:O25"/>
    <mergeCell ref="J8:O8"/>
    <mergeCell ref="C2:H2"/>
    <mergeCell ref="C3:H3"/>
  </mergeCells>
  <dataValidations count="2">
    <dataValidation operator="greaterThanOrEqual" allowBlank="1" showInputMessage="1" showErrorMessage="1" errorTitle="Invalid Entry" error="Please enter a value greater than zero._x000a_" sqref="G14" xr:uid="{00000000-0002-0000-0600-000000000000}"/>
    <dataValidation type="decimal" operator="greaterThanOrEqual" allowBlank="1" showInputMessage="1" showErrorMessage="1" errorTitle="Invalid Entry" error="Please enter a value greater than zero._x000a_" sqref="D9 G9 D11 G11 D13" xr:uid="{00000000-0002-0000-0600-000001000000}">
      <formula1>0</formula1>
    </dataValidation>
  </dataValidations>
  <hyperlinks>
    <hyperlink ref="J11" r:id="rId1" display="  Piping Handbook, Seventh Ed., Table E2.1M - S.I. units" xr:uid="{00000000-0004-0000-0600-000002000000}"/>
    <hyperlink ref="J11:K11" r:id="rId2" location="p2000b0d5982E_23001" display="Piping Handbook, Seventh Ed., Table E2.1M" xr:uid="{00000000-0004-0000-0600-000003000000}"/>
    <hyperlink ref="J11:L11" r:id="rId3" display="  Piping Handbook, Seventh Ed., Table E2.1M - S.I. units" xr:uid="{00000000-0004-0000-0600-000004000000}"/>
    <hyperlink ref="J11:M11" r:id="rId4" display="  Piping Handbook, Seventh Ed., Table E2.1M - S.I. units" xr:uid="{00000000-0004-0000-0600-000005000000}"/>
    <hyperlink ref="J6:N6" r:id="rId5" location="c9780071834087ch08lev2sec43" display="   Perry's Chemical Engineers' Handbook, 9th Ed, Sec. 8.8.4, Flow Measurements" xr:uid="{2C1A7845-848F-4C57-940B-7B0867F2587E}"/>
    <hyperlink ref="J8:N8" r:id="rId6" location="p200139d899710_15001" display="   Perry's Chemical Engineers' Handbook, 8th Ed, Sec. 10.1.12, Differential Pressure Flowmeters" xr:uid="{7C04570F-EE86-4F05-822C-78339DA3BA91}"/>
    <hyperlink ref="L25:O25" r:id="rId7" location="ch10eq25" display="   Perry's Chemical Engineers' Handbook, 9th Ed, Equation 10-25 )" xr:uid="{850A9D81-6994-4D99-AB29-27B91ACC6EDA}"/>
  </hyperlinks>
  <pageMargins left="0.7" right="0.7" top="0.75" bottom="0.75" header="0.3" footer="0.3"/>
  <pageSetup orientation="portrait" verticalDpi="90" r:id="rId8"/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5"/>
  <sheetViews>
    <sheetView showGridLines="0" workbookViewId="0"/>
  </sheetViews>
  <sheetFormatPr baseColWidth="10" defaultColWidth="8.83203125" defaultRowHeight="15" x14ac:dyDescent="0.2"/>
  <cols>
    <col min="1" max="1" width="6.83203125" customWidth="1"/>
    <col min="2" max="2" width="6" customWidth="1"/>
    <col min="3" max="3" width="20.83203125" customWidth="1"/>
    <col min="4" max="4" width="10.83203125" customWidth="1"/>
    <col min="5" max="5" width="10.6640625" customWidth="1"/>
    <col min="6" max="6" width="24.5" customWidth="1"/>
    <col min="7" max="7" width="10.5" customWidth="1"/>
    <col min="8" max="8" width="11.5" customWidth="1"/>
    <col min="10" max="10" width="15" customWidth="1"/>
    <col min="11" max="11" width="15.6640625" customWidth="1"/>
    <col min="12" max="12" width="19.5" customWidth="1"/>
    <col min="13" max="13" width="18.33203125" customWidth="1"/>
    <col min="14" max="14" width="17.83203125" customWidth="1"/>
    <col min="15" max="15" width="20.5" customWidth="1"/>
  </cols>
  <sheetData>
    <row r="1" spans="1:15" ht="16" thickBot="1" x14ac:dyDescent="0.25"/>
    <row r="2" spans="1:15" ht="21" customHeight="1" x14ac:dyDescent="0.2">
      <c r="C2" s="289" t="s">
        <v>299</v>
      </c>
      <c r="D2" s="290"/>
      <c r="E2" s="290"/>
      <c r="F2" s="290"/>
      <c r="G2" s="290"/>
      <c r="H2" s="291"/>
      <c r="J2" s="153"/>
      <c r="K2" s="154" t="s">
        <v>150</v>
      </c>
      <c r="L2" s="7"/>
      <c r="M2" s="154"/>
      <c r="N2" s="7"/>
      <c r="O2" s="8"/>
    </row>
    <row r="3" spans="1:15" ht="18" x14ac:dyDescent="0.2">
      <c r="C3" s="295" t="s">
        <v>236</v>
      </c>
      <c r="D3" s="296"/>
      <c r="E3" s="296"/>
      <c r="F3" s="296"/>
      <c r="G3" s="296"/>
      <c r="H3" s="297"/>
      <c r="J3" s="155"/>
      <c r="K3" s="156"/>
      <c r="L3" s="3"/>
      <c r="M3" s="3"/>
      <c r="N3" s="3"/>
      <c r="O3" s="4"/>
    </row>
    <row r="4" spans="1:15" ht="16" thickBot="1" x14ac:dyDescent="0.25">
      <c r="C4" s="11"/>
      <c r="D4" s="12"/>
      <c r="E4" s="12"/>
      <c r="F4" s="12"/>
      <c r="G4" s="12"/>
      <c r="H4" s="13"/>
      <c r="J4" s="157" t="s">
        <v>152</v>
      </c>
      <c r="K4" s="156"/>
      <c r="L4" s="3"/>
      <c r="M4" s="3"/>
      <c r="N4" s="3"/>
      <c r="O4" s="4"/>
    </row>
    <row r="5" spans="1:15" ht="16" x14ac:dyDescent="0.2">
      <c r="E5" s="25"/>
      <c r="F5" s="25"/>
      <c r="J5" s="158"/>
      <c r="K5" s="156"/>
      <c r="L5" s="3"/>
      <c r="M5" s="3"/>
      <c r="N5" s="3"/>
      <c r="O5" s="4"/>
    </row>
    <row r="6" spans="1:15" ht="18" x14ac:dyDescent="0.2">
      <c r="A6" s="301" t="s">
        <v>153</v>
      </c>
      <c r="C6" s="159" t="s">
        <v>154</v>
      </c>
      <c r="E6" s="160"/>
      <c r="F6" t="s">
        <v>155</v>
      </c>
      <c r="J6" s="323" t="s">
        <v>360</v>
      </c>
      <c r="K6" s="324"/>
      <c r="L6" s="324"/>
      <c r="M6" s="324"/>
      <c r="N6" s="324"/>
      <c r="O6" s="4"/>
    </row>
    <row r="7" spans="1:15" ht="17" thickBot="1" x14ac:dyDescent="0.25">
      <c r="A7" s="301"/>
      <c r="E7" s="160"/>
      <c r="J7" s="158"/>
      <c r="K7" s="156"/>
      <c r="L7" s="3"/>
      <c r="M7" s="3"/>
      <c r="N7" s="3"/>
      <c r="O7" s="4"/>
    </row>
    <row r="8" spans="1:15" x14ac:dyDescent="0.2">
      <c r="A8" s="301"/>
      <c r="C8" s="161"/>
      <c r="D8" s="162"/>
      <c r="E8" s="162"/>
      <c r="F8" s="162"/>
      <c r="G8" s="162"/>
      <c r="H8" s="163"/>
      <c r="J8" s="323" t="s">
        <v>361</v>
      </c>
      <c r="K8" s="324"/>
      <c r="L8" s="324"/>
      <c r="M8" s="324"/>
      <c r="N8" s="324"/>
      <c r="O8" s="330"/>
    </row>
    <row r="9" spans="1:15" ht="16.5" customHeight="1" x14ac:dyDescent="0.2">
      <c r="A9" s="301"/>
      <c r="C9" s="29" t="s">
        <v>156</v>
      </c>
      <c r="D9" s="164">
        <v>100</v>
      </c>
      <c r="E9" s="172" t="s">
        <v>276</v>
      </c>
      <c r="F9" s="26" t="s">
        <v>223</v>
      </c>
      <c r="G9" s="251">
        <v>0.06</v>
      </c>
      <c r="H9" s="128" t="s">
        <v>284</v>
      </c>
      <c r="J9" s="158"/>
      <c r="K9" s="156"/>
      <c r="L9" s="3"/>
      <c r="M9" s="3"/>
      <c r="N9" s="3"/>
      <c r="O9" s="4"/>
    </row>
    <row r="10" spans="1:15" ht="18.75" customHeight="1" x14ac:dyDescent="0.2">
      <c r="A10" s="301"/>
      <c r="C10" s="167" t="s">
        <v>157</v>
      </c>
      <c r="D10" s="166"/>
      <c r="E10" s="144"/>
      <c r="F10" s="145"/>
      <c r="G10" s="166"/>
      <c r="H10" s="131"/>
      <c r="J10" s="168" t="s">
        <v>159</v>
      </c>
      <c r="K10" s="169"/>
      <c r="L10" s="169"/>
      <c r="M10" s="169"/>
      <c r="N10" s="169"/>
      <c r="O10" s="4"/>
    </row>
    <row r="11" spans="1:15" ht="17.25" customHeight="1" x14ac:dyDescent="0.2">
      <c r="A11" s="301"/>
      <c r="C11" s="173" t="s">
        <v>226</v>
      </c>
      <c r="D11" s="248">
        <v>30</v>
      </c>
      <c r="E11" s="172" t="s">
        <v>276</v>
      </c>
      <c r="F11" s="247" t="s">
        <v>224</v>
      </c>
      <c r="G11" s="166"/>
      <c r="H11" s="131"/>
      <c r="J11" s="325" t="s">
        <v>312</v>
      </c>
      <c r="K11" s="326"/>
      <c r="L11" s="326"/>
      <c r="M11" s="326"/>
      <c r="N11" s="3"/>
      <c r="O11" s="4"/>
    </row>
    <row r="12" spans="1:15" ht="17.25" customHeight="1" x14ac:dyDescent="0.2">
      <c r="A12" s="301"/>
      <c r="C12" s="167"/>
      <c r="D12" s="166"/>
      <c r="E12" s="144"/>
      <c r="F12" s="243" t="s">
        <v>225</v>
      </c>
      <c r="G12" s="248">
        <v>17.055680655283705</v>
      </c>
      <c r="H12" s="128" t="s">
        <v>274</v>
      </c>
      <c r="J12" s="158"/>
      <c r="K12" s="156"/>
      <c r="L12" s="3"/>
      <c r="M12" s="3"/>
      <c r="N12" s="3"/>
      <c r="O12" s="4"/>
    </row>
    <row r="13" spans="1:15" ht="17.25" customHeight="1" x14ac:dyDescent="0.2">
      <c r="A13" s="301"/>
      <c r="C13" s="29" t="s">
        <v>170</v>
      </c>
      <c r="D13" s="252">
        <v>0.98399999999999999</v>
      </c>
      <c r="E13" s="144"/>
      <c r="F13" s="145" t="s">
        <v>228</v>
      </c>
      <c r="G13" s="166"/>
      <c r="H13" s="131"/>
      <c r="J13" s="158"/>
      <c r="K13" s="156"/>
      <c r="L13" s="3"/>
      <c r="M13" s="3"/>
      <c r="N13" s="3"/>
      <c r="O13" s="4"/>
    </row>
    <row r="14" spans="1:15" x14ac:dyDescent="0.2">
      <c r="A14" s="301"/>
      <c r="C14" s="167"/>
      <c r="D14" s="166"/>
      <c r="E14" s="144"/>
      <c r="F14" s="145"/>
      <c r="G14" s="166"/>
      <c r="H14" s="131"/>
      <c r="J14" s="174"/>
      <c r="K14" s="156"/>
      <c r="L14" s="3"/>
      <c r="M14" s="3"/>
      <c r="N14" s="3"/>
      <c r="O14" s="4"/>
    </row>
    <row r="15" spans="1:15" ht="17.25" customHeight="1" x14ac:dyDescent="0.2">
      <c r="A15" s="301"/>
      <c r="C15" s="173" t="s">
        <v>309</v>
      </c>
      <c r="D15" s="166"/>
      <c r="E15" s="144"/>
      <c r="F15" s="26"/>
      <c r="G15" s="170">
        <v>0</v>
      </c>
      <c r="H15" s="171" t="s">
        <v>276</v>
      </c>
      <c r="J15" s="158"/>
      <c r="K15" s="156"/>
      <c r="L15" s="3"/>
      <c r="M15" s="3"/>
      <c r="N15" s="3"/>
      <c r="O15" s="4"/>
    </row>
    <row r="16" spans="1:15" ht="17.25" customHeight="1" x14ac:dyDescent="0.2">
      <c r="A16" s="301"/>
      <c r="C16" s="175" t="s">
        <v>163</v>
      </c>
      <c r="D16" s="166"/>
      <c r="E16" s="144"/>
      <c r="F16" s="26"/>
      <c r="G16" s="166"/>
      <c r="H16" s="128"/>
      <c r="J16" s="158"/>
      <c r="K16" s="156"/>
      <c r="L16" s="3"/>
      <c r="M16" s="3"/>
      <c r="N16" s="3"/>
      <c r="O16" s="4"/>
    </row>
    <row r="17" spans="1:15" ht="16" thickBot="1" x14ac:dyDescent="0.25">
      <c r="A17" s="301"/>
      <c r="C17" s="179"/>
      <c r="D17" s="122"/>
      <c r="E17" s="123"/>
      <c r="F17" s="31"/>
      <c r="G17" s="122"/>
      <c r="H17" s="125"/>
      <c r="J17" s="158"/>
      <c r="K17" s="156"/>
      <c r="L17" s="3"/>
      <c r="M17" s="3"/>
      <c r="N17" s="3"/>
      <c r="O17" s="4"/>
    </row>
    <row r="18" spans="1:15" x14ac:dyDescent="0.2">
      <c r="J18" s="158"/>
      <c r="K18" s="156"/>
      <c r="L18" s="3"/>
      <c r="M18" s="3"/>
      <c r="N18" s="3"/>
      <c r="O18" s="4"/>
    </row>
    <row r="19" spans="1:15" ht="18.75" customHeight="1" thickBot="1" x14ac:dyDescent="0.25">
      <c r="A19" s="313" t="s">
        <v>165</v>
      </c>
      <c r="C19" s="182" t="s">
        <v>38</v>
      </c>
      <c r="J19" s="155"/>
      <c r="K19" s="156"/>
      <c r="L19" s="3"/>
      <c r="M19" s="3"/>
      <c r="N19" s="3"/>
      <c r="O19" s="4"/>
    </row>
    <row r="20" spans="1:15" x14ac:dyDescent="0.2">
      <c r="A20" s="313"/>
      <c r="C20" s="183"/>
      <c r="D20" s="109"/>
      <c r="E20" s="110"/>
      <c r="F20" s="111"/>
      <c r="G20" s="109"/>
      <c r="H20" s="112"/>
      <c r="J20" s="158"/>
      <c r="K20" s="156"/>
      <c r="L20" s="3"/>
      <c r="M20" s="3"/>
      <c r="N20" s="3"/>
      <c r="O20" s="4"/>
    </row>
    <row r="21" spans="1:15" x14ac:dyDescent="0.2">
      <c r="A21" s="313"/>
      <c r="C21" s="29" t="s">
        <v>156</v>
      </c>
      <c r="D21" s="147">
        <f>D9/1000</f>
        <v>0.1</v>
      </c>
      <c r="E21" s="172" t="s">
        <v>279</v>
      </c>
      <c r="F21" s="26" t="s">
        <v>161</v>
      </c>
      <c r="G21" s="184">
        <f>D11/1000</f>
        <v>0.03</v>
      </c>
      <c r="H21" s="128" t="s">
        <v>279</v>
      </c>
      <c r="J21" s="158"/>
      <c r="K21" s="156"/>
      <c r="L21" s="3"/>
      <c r="M21" s="3"/>
      <c r="N21" s="3"/>
      <c r="O21" s="4"/>
    </row>
    <row r="22" spans="1:15" ht="16" x14ac:dyDescent="0.2">
      <c r="A22" s="313"/>
      <c r="C22" s="29" t="s">
        <v>166</v>
      </c>
      <c r="D22" s="186">
        <f>PI()*(D21^2)/4</f>
        <v>7.8539816339744835E-3</v>
      </c>
      <c r="E22" s="187" t="s">
        <v>280</v>
      </c>
      <c r="F22" s="188" t="s">
        <v>167</v>
      </c>
      <c r="G22" s="186">
        <f>PI()*(G21^2)/4</f>
        <v>7.0685834705770342E-4</v>
      </c>
      <c r="H22" s="128" t="s">
        <v>280</v>
      </c>
      <c r="J22" s="158"/>
      <c r="K22" s="156"/>
      <c r="L22" s="3"/>
      <c r="M22" s="3"/>
      <c r="N22" s="3"/>
      <c r="O22" s="4"/>
    </row>
    <row r="23" spans="1:15" ht="16" x14ac:dyDescent="0.2">
      <c r="A23" s="313"/>
      <c r="C23" s="29" t="s">
        <v>168</v>
      </c>
      <c r="D23" s="186">
        <f>G21/D21</f>
        <v>0.3</v>
      </c>
      <c r="E23" s="190"/>
      <c r="F23" s="188" t="s">
        <v>221</v>
      </c>
      <c r="G23" s="194">
        <f>(GasPressure-G12)/GasPressure</f>
        <v>0.97528162223871928</v>
      </c>
      <c r="H23" s="131"/>
      <c r="J23" s="158"/>
      <c r="K23" s="156"/>
      <c r="L23" s="3"/>
      <c r="M23" s="3"/>
      <c r="N23" s="3"/>
      <c r="O23" s="4"/>
    </row>
    <row r="24" spans="1:15" x14ac:dyDescent="0.2">
      <c r="A24" s="313"/>
      <c r="C24" s="29"/>
      <c r="D24" s="190"/>
      <c r="E24" s="190"/>
      <c r="F24" s="188" t="s">
        <v>172</v>
      </c>
      <c r="G24" s="194">
        <f>G9/D22</f>
        <v>7.6394372684109753</v>
      </c>
      <c r="H24" s="128" t="s">
        <v>173</v>
      </c>
      <c r="J24" s="157" t="s">
        <v>349</v>
      </c>
      <c r="K24" s="156"/>
      <c r="L24" s="3"/>
      <c r="M24" s="3"/>
      <c r="N24" s="3"/>
      <c r="O24" s="4"/>
    </row>
    <row r="25" spans="1:15" ht="16" x14ac:dyDescent="0.2">
      <c r="A25" s="313"/>
      <c r="C25" s="29" t="s">
        <v>205</v>
      </c>
      <c r="D25" s="238">
        <f>GasPressure*MolecularWeight/(CompressibilityFactor*D30*(GasTemperature+273.15))</f>
        <v>4.4904388593289406</v>
      </c>
      <c r="E25" s="187" t="s">
        <v>281</v>
      </c>
      <c r="F25" s="188" t="s">
        <v>174</v>
      </c>
      <c r="G25" s="195">
        <f>D21*G24*(D25)/Viscosity</f>
        <v>304808.67877765623</v>
      </c>
      <c r="H25" s="138"/>
      <c r="J25" s="240" t="s">
        <v>311</v>
      </c>
      <c r="K25" s="239"/>
      <c r="L25" s="321" t="s">
        <v>362</v>
      </c>
      <c r="M25" s="321"/>
      <c r="N25" s="321"/>
      <c r="O25" s="322"/>
    </row>
    <row r="26" spans="1:15" x14ac:dyDescent="0.2">
      <c r="A26" s="313"/>
      <c r="C26" s="185"/>
      <c r="D26" s="189"/>
      <c r="E26" s="190"/>
      <c r="F26" s="193" t="s">
        <v>231</v>
      </c>
      <c r="G26" s="189"/>
      <c r="H26" s="131"/>
      <c r="J26" s="158"/>
      <c r="K26" s="156"/>
      <c r="L26" s="3"/>
      <c r="M26" s="3"/>
      <c r="N26" s="3"/>
      <c r="O26" s="4"/>
    </row>
    <row r="27" spans="1:15" ht="16" x14ac:dyDescent="0.2">
      <c r="A27" s="313"/>
      <c r="C27" s="29" t="s">
        <v>222</v>
      </c>
      <c r="D27" s="186">
        <f>((SpecificHeatRatio*(G23^(2/SpecificHeatRatio))/(SpecificHeatRatio-1))*((1-(D23^4))/(1-(D23^4)*(G23^(2/SpecificHeatRatio))))*((1-(G23^((SpecificHeatRatio-1)/SpecificHeatRatio)))/(1-G23)))^0.5</f>
        <v>0.98571774373770338</v>
      </c>
      <c r="E27" s="190"/>
      <c r="F27" s="249" t="s">
        <v>230</v>
      </c>
      <c r="G27" s="192">
        <f>(((G9/(D13*G22*D27))^2)-(9.81*2*(G15/1000)/(1-(D23^4))))*(GasPressure*MolecularWeight*(1-D23^4)/(2*CompressibilityFactor*D30*(GasTemperature+273.15)))</f>
        <v>17055.680655287961</v>
      </c>
      <c r="H27" s="138" t="s">
        <v>283</v>
      </c>
      <c r="J27" s="158"/>
      <c r="K27" s="156"/>
      <c r="L27" s="3"/>
      <c r="M27" s="3"/>
      <c r="N27" s="3"/>
      <c r="O27" s="4"/>
    </row>
    <row r="28" spans="1:15" x14ac:dyDescent="0.2">
      <c r="A28" s="313"/>
      <c r="C28" s="29"/>
      <c r="D28" s="190"/>
      <c r="E28" s="190"/>
      <c r="F28" s="188"/>
      <c r="G28" s="189"/>
      <c r="H28" s="131"/>
      <c r="J28" s="155"/>
      <c r="K28" s="156"/>
      <c r="L28" s="3"/>
      <c r="M28" s="3"/>
      <c r="N28" s="3"/>
      <c r="O28" s="4"/>
    </row>
    <row r="29" spans="1:15" x14ac:dyDescent="0.2">
      <c r="A29" s="313"/>
      <c r="C29" s="29" t="s">
        <v>219</v>
      </c>
      <c r="D29" s="189"/>
      <c r="E29" s="190" t="s">
        <v>232</v>
      </c>
      <c r="F29" s="193"/>
      <c r="G29" s="189"/>
      <c r="H29" s="131"/>
      <c r="J29" s="158"/>
      <c r="K29" s="156"/>
      <c r="L29" s="3"/>
      <c r="M29" s="3"/>
      <c r="N29" s="3"/>
      <c r="O29" s="4"/>
    </row>
    <row r="30" spans="1:15" ht="16" x14ac:dyDescent="0.2">
      <c r="A30" s="313"/>
      <c r="C30" s="29" t="s">
        <v>220</v>
      </c>
      <c r="D30" s="186">
        <v>8.3145000000000007</v>
      </c>
      <c r="E30" s="188" t="s">
        <v>233</v>
      </c>
      <c r="F30" s="188"/>
      <c r="G30" s="186">
        <f>(G12*1000)-G27</f>
        <v>-4.2564352042973042E-9</v>
      </c>
      <c r="H30" s="138" t="s">
        <v>283</v>
      </c>
      <c r="J30" s="158"/>
      <c r="K30" s="156"/>
      <c r="L30" s="3"/>
      <c r="M30" s="3"/>
      <c r="N30" s="3"/>
      <c r="O30" s="4"/>
    </row>
    <row r="31" spans="1:15" ht="16" x14ac:dyDescent="0.2">
      <c r="A31" s="313"/>
      <c r="C31" s="29"/>
      <c r="D31" s="191" t="s">
        <v>294</v>
      </c>
      <c r="E31" s="26"/>
      <c r="F31" s="193"/>
      <c r="G31" s="189"/>
      <c r="H31" s="131"/>
      <c r="J31" s="158" t="s">
        <v>287</v>
      </c>
      <c r="K31" s="156"/>
      <c r="L31" s="3"/>
      <c r="M31" s="3"/>
      <c r="N31" s="3"/>
      <c r="O31" s="4"/>
    </row>
    <row r="32" spans="1:15" ht="17" thickBot="1" x14ac:dyDescent="0.25">
      <c r="A32" s="313"/>
      <c r="C32" s="244"/>
      <c r="D32" s="245"/>
      <c r="E32" s="246"/>
      <c r="F32" s="196"/>
      <c r="G32" s="180"/>
      <c r="H32" s="181"/>
      <c r="J32" s="158" t="s">
        <v>207</v>
      </c>
      <c r="K32" s="156"/>
      <c r="L32" s="3"/>
      <c r="M32" s="3"/>
      <c r="N32" s="3"/>
      <c r="O32" s="4"/>
    </row>
    <row r="33" spans="1:15" ht="16" x14ac:dyDescent="0.2">
      <c r="J33" s="158" t="s">
        <v>348</v>
      </c>
      <c r="K33" s="156"/>
      <c r="L33" s="3"/>
      <c r="M33" s="3"/>
      <c r="N33" s="3"/>
      <c r="O33" s="4"/>
    </row>
    <row r="34" spans="1:15" ht="16" x14ac:dyDescent="0.2">
      <c r="A34" s="313" t="s">
        <v>175</v>
      </c>
      <c r="C34" s="197" t="s">
        <v>320</v>
      </c>
      <c r="J34" s="158" t="s">
        <v>288</v>
      </c>
      <c r="K34" s="156"/>
      <c r="L34" s="3"/>
      <c r="M34" s="3"/>
      <c r="N34" s="3"/>
      <c r="O34" s="4"/>
    </row>
    <row r="35" spans="1:15" ht="16" x14ac:dyDescent="0.2">
      <c r="A35" s="313"/>
      <c r="C35" s="197" t="s">
        <v>321</v>
      </c>
      <c r="J35" s="158" t="s">
        <v>289</v>
      </c>
      <c r="K35" s="156"/>
      <c r="L35" s="3"/>
      <c r="M35" s="3"/>
      <c r="N35" s="3"/>
      <c r="O35" s="4"/>
    </row>
    <row r="36" spans="1:15" x14ac:dyDescent="0.2">
      <c r="A36" s="313"/>
      <c r="C36" s="250" t="s">
        <v>322</v>
      </c>
      <c r="J36" s="158" t="s">
        <v>208</v>
      </c>
      <c r="K36" s="156"/>
      <c r="L36" s="3"/>
      <c r="M36" s="3"/>
      <c r="N36" s="3"/>
      <c r="O36" s="4"/>
    </row>
    <row r="37" spans="1:15" ht="16" x14ac:dyDescent="0.2">
      <c r="A37" s="313"/>
      <c r="C37" s="250" t="s">
        <v>332</v>
      </c>
      <c r="J37" s="158" t="s">
        <v>209</v>
      </c>
      <c r="K37" s="156"/>
      <c r="L37" s="3"/>
      <c r="M37" s="3"/>
      <c r="N37" s="3"/>
      <c r="O37" s="4"/>
    </row>
    <row r="38" spans="1:15" x14ac:dyDescent="0.2">
      <c r="A38" s="313"/>
      <c r="C38" s="250" t="s">
        <v>333</v>
      </c>
      <c r="J38" s="241" t="s">
        <v>290</v>
      </c>
      <c r="K38" s="156"/>
      <c r="L38" s="3"/>
      <c r="M38" s="3"/>
      <c r="N38" s="3"/>
      <c r="O38" s="4"/>
    </row>
    <row r="39" spans="1:15" ht="16" x14ac:dyDescent="0.2">
      <c r="A39" s="313"/>
      <c r="C39" s="250" t="s">
        <v>325</v>
      </c>
      <c r="J39" s="158" t="s">
        <v>211</v>
      </c>
      <c r="K39" s="156"/>
      <c r="L39" s="3"/>
      <c r="M39" s="3"/>
      <c r="N39" s="3"/>
      <c r="O39" s="4"/>
    </row>
    <row r="40" spans="1:15" ht="17" thickBot="1" x14ac:dyDescent="0.25">
      <c r="A40" s="313"/>
      <c r="J40" s="158" t="s">
        <v>291</v>
      </c>
      <c r="K40" s="156"/>
      <c r="L40" s="3"/>
      <c r="M40" s="3"/>
      <c r="N40" s="3"/>
      <c r="O40" s="4"/>
    </row>
    <row r="41" spans="1:15" ht="16" thickBot="1" x14ac:dyDescent="0.25">
      <c r="A41" s="313"/>
      <c r="C41" s="161"/>
      <c r="D41" s="162"/>
      <c r="E41" s="162"/>
      <c r="F41" s="162"/>
      <c r="G41" s="163"/>
      <c r="J41" s="158" t="s">
        <v>210</v>
      </c>
      <c r="K41" s="156"/>
      <c r="L41" s="3"/>
      <c r="M41" s="3"/>
      <c r="N41" s="3"/>
      <c r="O41" s="4"/>
    </row>
    <row r="42" spans="1:15" ht="17" thickBot="1" x14ac:dyDescent="0.25">
      <c r="A42" s="313"/>
      <c r="C42" s="257" t="s">
        <v>239</v>
      </c>
      <c r="D42" s="134"/>
      <c r="E42" s="144"/>
      <c r="F42" s="200">
        <f>IF(ABS(G30)&lt;0.001,G12,"Redo Goal Seek")</f>
        <v>17.055680655283705</v>
      </c>
      <c r="G42" s="256" t="s">
        <v>274</v>
      </c>
      <c r="J42" s="204" t="s">
        <v>292</v>
      </c>
      <c r="K42" s="156"/>
      <c r="L42" s="3"/>
      <c r="M42" s="3"/>
      <c r="N42" s="3"/>
      <c r="O42" s="4"/>
    </row>
    <row r="43" spans="1:15" ht="17" thickBot="1" x14ac:dyDescent="0.25">
      <c r="A43" s="313"/>
      <c r="C43" s="30"/>
      <c r="D43" s="210"/>
      <c r="E43" s="123"/>
      <c r="F43" s="246"/>
      <c r="G43" s="211"/>
      <c r="J43" s="204" t="s">
        <v>293</v>
      </c>
      <c r="K43" s="156"/>
      <c r="L43" s="3"/>
      <c r="M43" s="3"/>
      <c r="N43" s="3"/>
      <c r="O43" s="4"/>
    </row>
    <row r="44" spans="1:15" x14ac:dyDescent="0.2">
      <c r="J44" s="204"/>
      <c r="K44" s="156"/>
      <c r="L44" s="3"/>
      <c r="M44" s="3"/>
      <c r="N44" s="3"/>
      <c r="O44" s="4"/>
    </row>
    <row r="45" spans="1:15" x14ac:dyDescent="0.2">
      <c r="J45" s="157"/>
      <c r="K45" s="156"/>
      <c r="L45" s="3"/>
      <c r="M45" s="3"/>
      <c r="N45" s="3"/>
      <c r="O45" s="4"/>
    </row>
    <row r="46" spans="1:15" x14ac:dyDescent="0.2">
      <c r="J46" s="157"/>
      <c r="K46" s="156"/>
      <c r="L46" s="3"/>
      <c r="M46" s="3"/>
      <c r="N46" s="3"/>
      <c r="O46" s="4"/>
    </row>
    <row r="47" spans="1:15" x14ac:dyDescent="0.2">
      <c r="C47" s="20" t="s">
        <v>16</v>
      </c>
      <c r="J47" s="158"/>
      <c r="K47" s="156"/>
      <c r="L47" s="3"/>
      <c r="M47" s="3"/>
      <c r="N47" s="3"/>
      <c r="O47" s="4"/>
    </row>
    <row r="48" spans="1:15" x14ac:dyDescent="0.2">
      <c r="J48" s="158"/>
      <c r="K48" s="156"/>
      <c r="L48" s="3"/>
      <c r="M48" s="3"/>
      <c r="N48" s="3"/>
      <c r="O48" s="4"/>
    </row>
    <row r="49" spans="10:15" x14ac:dyDescent="0.2">
      <c r="J49" s="158"/>
      <c r="K49" s="156"/>
      <c r="L49" s="3"/>
      <c r="M49" s="3"/>
      <c r="N49" s="3"/>
      <c r="O49" s="4"/>
    </row>
    <row r="50" spans="10:15" x14ac:dyDescent="0.2">
      <c r="J50" s="158"/>
      <c r="K50" s="156"/>
      <c r="L50" s="3"/>
      <c r="M50" s="3"/>
      <c r="N50" s="3"/>
      <c r="O50" s="4"/>
    </row>
    <row r="51" spans="10:15" x14ac:dyDescent="0.2">
      <c r="J51" s="204" t="s">
        <v>206</v>
      </c>
      <c r="K51" s="156"/>
      <c r="L51" s="3"/>
      <c r="M51" s="3"/>
      <c r="N51" s="3"/>
      <c r="O51" s="4"/>
    </row>
    <row r="52" spans="10:15" ht="16" x14ac:dyDescent="0.2">
      <c r="J52" s="204" t="s">
        <v>212</v>
      </c>
      <c r="K52" s="156"/>
      <c r="L52" s="3"/>
      <c r="M52" s="3"/>
      <c r="N52" s="3"/>
      <c r="O52" s="4"/>
    </row>
    <row r="53" spans="10:15" ht="16" x14ac:dyDescent="0.2">
      <c r="J53" s="204" t="s">
        <v>213</v>
      </c>
      <c r="K53" s="156"/>
      <c r="L53" s="3"/>
      <c r="M53" s="3"/>
      <c r="N53" s="3"/>
      <c r="O53" s="4"/>
    </row>
    <row r="54" spans="10:15" x14ac:dyDescent="0.2">
      <c r="J54" s="204" t="s">
        <v>214</v>
      </c>
      <c r="K54" s="156"/>
      <c r="L54" s="3"/>
      <c r="M54" s="3"/>
      <c r="N54" s="3"/>
      <c r="O54" s="4"/>
    </row>
    <row r="55" spans="10:15" ht="16" thickBot="1" x14ac:dyDescent="0.25">
      <c r="J55" s="11"/>
      <c r="K55" s="12"/>
      <c r="L55" s="12"/>
      <c r="M55" s="12"/>
      <c r="N55" s="12"/>
      <c r="O55" s="13"/>
    </row>
  </sheetData>
  <sheetProtection sheet="1" objects="1" scenarios="1" formatCells="0"/>
  <mergeCells count="9">
    <mergeCell ref="L25:O25"/>
    <mergeCell ref="A19:A32"/>
    <mergeCell ref="A34:A43"/>
    <mergeCell ref="C2:H2"/>
    <mergeCell ref="C3:H3"/>
    <mergeCell ref="A6:A17"/>
    <mergeCell ref="J6:N6"/>
    <mergeCell ref="J11:M11"/>
    <mergeCell ref="J8:O8"/>
  </mergeCells>
  <dataValidations count="2">
    <dataValidation type="decimal" operator="greaterThanOrEqual" allowBlank="1" showInputMessage="1" showErrorMessage="1" errorTitle="Invalid Entry" error="Please enter a value greater than zero._x000a_" sqref="D9 D13 D11 G9 G12" xr:uid="{00000000-0002-0000-0700-000000000000}">
      <formula1>0</formula1>
    </dataValidation>
    <dataValidation operator="greaterThanOrEqual" allowBlank="1" showInputMessage="1" showErrorMessage="1" errorTitle="Invalid Entry" error="Please enter a value greater than zero._x000a_" sqref="G15" xr:uid="{00000000-0002-0000-0700-000001000000}"/>
  </dataValidations>
  <hyperlinks>
    <hyperlink ref="J11" r:id="rId1" display="  Piping Handbook, Seventh Ed., Table E2.1M - S.I. units" xr:uid="{00000000-0004-0000-0700-000002000000}"/>
    <hyperlink ref="J11:K11" r:id="rId2" location="p2000b0d5982E_23001" display="Piping Handbook, Seventh Ed., Table E2.1M" xr:uid="{00000000-0004-0000-0700-000003000000}"/>
    <hyperlink ref="J11:L11" r:id="rId3" display="  Piping Handbook, Seventh Ed., Table E2.1M - S.I. units" xr:uid="{00000000-0004-0000-0700-000004000000}"/>
    <hyperlink ref="J11:M11" r:id="rId4" display="  Piping Handbook, Seventh Ed., Table E2.1M - S.I. units" xr:uid="{00000000-0004-0000-0700-000005000000}"/>
    <hyperlink ref="J6:N6" r:id="rId5" location="c9780071834087ch08lev2sec43" display="   Perry's Chemical Engineers' Handbook, 9th Ed, Sec. 8.8.4, Flow Measurements" xr:uid="{927814C9-E4C6-4A45-929B-24AE0518A273}"/>
    <hyperlink ref="J8:N8" r:id="rId6" location="p200139d899710_15001" display="   Perry's Chemical Engineers' Handbook, 8th Ed, Sec. 10.1.12, Differential Pressure Flowmeters" xr:uid="{7B434090-BDD9-4EEF-A49F-15E4365E3E73}"/>
    <hyperlink ref="L25:O25" r:id="rId7" location="ch10eq25" display="   Perry's Chemical Engineers' Handbook, 9th Ed, Equation 10-25 )" xr:uid="{BBB9C303-7450-4E4B-BFBB-6EDA1A8720FA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1. Intro - Start Here</vt:lpstr>
      <vt:lpstr>2. Gas Properties</vt:lpstr>
      <vt:lpstr>3. Flow Rate - ISO 5167</vt:lpstr>
      <vt:lpstr>4. Throat Diameter - ISO 5167</vt:lpstr>
      <vt:lpstr>5. Pressure Diff. - ISO 5167</vt:lpstr>
      <vt:lpstr>6. Flow Rate - Specified C</vt:lpstr>
      <vt:lpstr>7. Throat Diam - Specified C</vt:lpstr>
      <vt:lpstr>8. Press Diff - Specified C</vt:lpstr>
      <vt:lpstr>CompressibilityFactor</vt:lpstr>
      <vt:lpstr>CriticalPressure</vt:lpstr>
      <vt:lpstr>CriticalTemperature</vt:lpstr>
      <vt:lpstr>Density</vt:lpstr>
      <vt:lpstr>GasPressure</vt:lpstr>
      <vt:lpstr>GasTemperature</vt:lpstr>
      <vt:lpstr>MolecularWeight</vt:lpstr>
      <vt:lpstr>SpecificHeatRatio</vt:lpstr>
      <vt:lpstr>Viscosity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Bengtson</dc:creator>
  <cp:lastModifiedBy>Debrun, Gavin Thomas</cp:lastModifiedBy>
  <dcterms:created xsi:type="dcterms:W3CDTF">2018-02-14T14:25:35Z</dcterms:created>
  <dcterms:modified xsi:type="dcterms:W3CDTF">2021-09-13T22:46:36Z</dcterms:modified>
</cp:coreProperties>
</file>