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63234330b014e/Documents/"/>
    </mc:Choice>
  </mc:AlternateContent>
  <xr:revisionPtr revIDLastSave="2663" documentId="8_{55495278-594E-4DBE-890A-397309DD1092}" xr6:coauthVersionLast="45" xr6:coauthVersionMax="45" xr10:uidLastSave="{12F79318-0422-4C56-B7FB-9C60393BB393}"/>
  <bookViews>
    <workbookView xWindow="-98" yWindow="-98" windowWidth="20715" windowHeight="13276" activeTab="3" xr2:uid="{4F8C8685-0391-4114-9554-A00287A73DE7}"/>
  </bookViews>
  <sheets>
    <sheet name="ignore" sheetId="1" r:id="rId1"/>
    <sheet name="all_size_dist_25" sheetId="2" r:id="rId2"/>
    <sheet name="size dist_by_.1" sheetId="3" r:id="rId3"/>
    <sheet name="size_dist_.1_.7" sheetId="4" r:id="rId4"/>
  </sheets>
  <definedNames>
    <definedName name="c_1">all_size_dist_25!$H$13</definedName>
    <definedName name="c_2">all_size_dist_25!$I$13</definedName>
    <definedName name="c_3">all_size_dist_25!$J$13</definedName>
    <definedName name="c_4">all_size_dist_25!$K$13</definedName>
    <definedName name="ctot">all_size_dist_25!$S$16</definedName>
    <definedName name="e_1">all_size_dist_25!$H$15</definedName>
    <definedName name="e_2">all_size_dist_25!$I$15</definedName>
    <definedName name="e_3" localSheetId="1">all_size_dist_25!$J$15</definedName>
    <definedName name="e_3">all_size_dist_25!$J$15</definedName>
    <definedName name="e_4">all_size_dist_25!$K$15</definedName>
    <definedName name="e2_" localSheetId="1">all_size_dist_25!$I$15</definedName>
    <definedName name="e4_" localSheetId="1">all_size_dist_25!$K$15</definedName>
    <definedName name="effort_distribution" localSheetId="1">all_size_dist_25!$H$15</definedName>
    <definedName name="Hsp_1">all_size_dist_25!$N$11</definedName>
    <definedName name="Hsp_2">all_size_dist_25!$O$11</definedName>
    <definedName name="Hsp_3">all_size_dist_25!$P$11</definedName>
    <definedName name="Hsp_4">all_size_dist_25!$Q$11</definedName>
    <definedName name="Hsz_1">all_size_dist_25!$N$8</definedName>
    <definedName name="Hsz_2">all_size_dist_25!$O$8</definedName>
    <definedName name="Hsz_3">all_size_dist_25!$P$8</definedName>
    <definedName name="Hsz_4">all_size_dist_25!$Q$8</definedName>
    <definedName name="m_1">all_size_dist_25!$G$8</definedName>
    <definedName name="m_2">all_size_dist_25!$G$9</definedName>
    <definedName name="m_3">all_size_dist_25!$G$10</definedName>
    <definedName name="m_4">all_size_dist_25!$G$11</definedName>
    <definedName name="p_1">all_size_dist_25!$B$15</definedName>
    <definedName name="p_2">all_size_dist_25!$C$15</definedName>
    <definedName name="p_3">all_size_dist_25!$D$15</definedName>
    <definedName name="p_4">all_size_dist_25!$E$15</definedName>
    <definedName name="pft">all_size_dist_25!$S$18</definedName>
    <definedName name="profit">all_size_dist_25!$T$17</definedName>
    <definedName name="rtot">all_size_dist_25!$S$14</definedName>
    <definedName name="solver_adj" localSheetId="1" hidden="1">all_size_dist_25!$H$15:$K$15</definedName>
    <definedName name="solver_adj" localSheetId="2" hidden="1">'size dist_by_.1'!$H$15:$K$15</definedName>
    <definedName name="solver_adj" localSheetId="3" hidden="1">'size_dist_.1_.7'!$H$15:$K$15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all_size_dist_25!$L$15</definedName>
    <definedName name="solver_lhs1" localSheetId="2" hidden="1">'size dist_by_.1'!$H$15</definedName>
    <definedName name="solver_lhs1" localSheetId="3" hidden="1">'size_dist_.1_.7'!$H$15</definedName>
    <definedName name="solver_lhs2" localSheetId="1" hidden="1">all_size_dist_25!$H$15</definedName>
    <definedName name="solver_lhs2" localSheetId="2" hidden="1">'size dist_by_.1'!$I$15</definedName>
    <definedName name="solver_lhs2" localSheetId="3" hidden="1">'size_dist_.1_.7'!$I$15</definedName>
    <definedName name="solver_lhs3" localSheetId="1" hidden="1">all_size_dist_25!$I$15</definedName>
    <definedName name="solver_lhs3" localSheetId="2" hidden="1">'size dist_by_.1'!$J$15</definedName>
    <definedName name="solver_lhs3" localSheetId="3" hidden="1">'size_dist_.1_.7'!$J$15</definedName>
    <definedName name="solver_lhs4" localSheetId="1" hidden="1">all_size_dist_25!$J$15</definedName>
    <definedName name="solver_lhs4" localSheetId="2" hidden="1">'size dist_by_.1'!$K$15</definedName>
    <definedName name="solver_lhs4" localSheetId="3" hidden="1">'size_dist_.1_.7'!$K$15</definedName>
    <definedName name="solver_lhs5" localSheetId="1" hidden="1">all_size_dist_25!$K$15</definedName>
    <definedName name="solver_lhs5" localSheetId="2" hidden="1">'size dist_by_.1'!$L$15</definedName>
    <definedName name="solver_lhs5" localSheetId="3" hidden="1">'size_dist_.1_.7'!$L$15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5</definedName>
    <definedName name="solver_num" localSheetId="2" hidden="1">5</definedName>
    <definedName name="solver_num" localSheetId="3" hidden="1">5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all_size_dist_25!$S$18</definedName>
    <definedName name="solver_opt" localSheetId="2" hidden="1">'size dist_by_.1'!$S$18</definedName>
    <definedName name="solver_opt" localSheetId="3" hidden="1">'size_dist_.1_.7'!$S$18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1" hidden="1">2</definedName>
    <definedName name="solver_rel1" localSheetId="2" hidden="1">3</definedName>
    <definedName name="solver_rel1" localSheetId="3" hidden="1">3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3" localSheetId="1" hidden="1">3</definedName>
    <definedName name="solver_rel3" localSheetId="2" hidden="1">3</definedName>
    <definedName name="solver_rel3" localSheetId="3" hidden="1">3</definedName>
    <definedName name="solver_rel4" localSheetId="1" hidden="1">3</definedName>
    <definedName name="solver_rel4" localSheetId="2" hidden="1">3</definedName>
    <definedName name="solver_rel4" localSheetId="3" hidden="1">3</definedName>
    <definedName name="solver_rel5" localSheetId="1" hidden="1">3</definedName>
    <definedName name="solver_rel5" localSheetId="2" hidden="1">2</definedName>
    <definedName name="solver_rel5" localSheetId="3" hidden="1">2</definedName>
    <definedName name="solver_rhs1" localSheetId="1" hidden="1">1</definedName>
    <definedName name="solver_rhs1" localSheetId="2" hidden="1">0</definedName>
    <definedName name="solver_rhs1" localSheetId="3" hidden="1">0</definedName>
    <definedName name="solver_rhs2" localSheetId="1" hidden="1">0</definedName>
    <definedName name="solver_rhs2" localSheetId="2" hidden="1">0</definedName>
    <definedName name="solver_rhs2" localSheetId="3" hidden="1">0</definedName>
    <definedName name="solver_rhs3" localSheetId="1" hidden="1">0</definedName>
    <definedName name="solver_rhs3" localSheetId="2" hidden="1">0</definedName>
    <definedName name="solver_rhs3" localSheetId="3" hidden="1">0</definedName>
    <definedName name="solver_rhs4" localSheetId="1" hidden="1">0</definedName>
    <definedName name="solver_rhs4" localSheetId="2" hidden="1">0</definedName>
    <definedName name="solver_rhs4" localSheetId="3" hidden="1">0</definedName>
    <definedName name="solver_rhs5" localSheetId="1" hidden="1">0</definedName>
    <definedName name="solver_rhs5" localSheetId="2" hidden="1">1</definedName>
    <definedName name="solver_rhs5" localSheetId="3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p_11">all_size_dist_25!$B$8</definedName>
    <definedName name="sp_12">all_size_dist_25!$B$9</definedName>
    <definedName name="sp_13">all_size_dist_25!$B$10</definedName>
    <definedName name="sp_14">all_size_dist_25!$B$11</definedName>
    <definedName name="sp_21">all_size_dist_25!$C$8</definedName>
    <definedName name="sp_22">all_size_dist_25!$C$9</definedName>
    <definedName name="sp_23">all_size_dist_25!$C$10</definedName>
    <definedName name="sp_24">all_size_dist_25!$C$11</definedName>
    <definedName name="sp_31">all_size_dist_25!$D$8</definedName>
    <definedName name="sp_32">all_size_dist_25!$D$9</definedName>
    <definedName name="sp_33">all_size_dist_25!$D$10</definedName>
    <definedName name="sp_34">all_size_dist_25!$D$11</definedName>
    <definedName name="sp_41">all_size_dist_25!$E$8</definedName>
    <definedName name="sp_42">all_size_dist_25!$E$9</definedName>
    <definedName name="sp_43">all_size_dist_25!$E$10</definedName>
    <definedName name="sp_44">all_size_dist_25!$E$11</definedName>
    <definedName name="tech11">all_size_dist_25!$H$8</definedName>
    <definedName name="tech12">all_size_dist_25!$H$9</definedName>
    <definedName name="tech13">all_size_dist_25!$H$10</definedName>
    <definedName name="tech14">all_size_dist_25!$H$11</definedName>
    <definedName name="tech21">all_size_dist_25!$I$8</definedName>
    <definedName name="tech22">all_size_dist_25!$I$9</definedName>
    <definedName name="tech23">all_size_dist_25!$I$10</definedName>
    <definedName name="tech24">all_size_dist_25!$I$11</definedName>
    <definedName name="tech31">all_size_dist_25!$J$8</definedName>
    <definedName name="tech32">all_size_dist_25!$J$9</definedName>
    <definedName name="tech33">all_size_dist_25!$J$10</definedName>
    <definedName name="tech34">all_size_dist_25!$J$11</definedName>
    <definedName name="tech41">all_size_dist_25!$K$8</definedName>
    <definedName name="tech42">all_size_dist_25!$K$9</definedName>
    <definedName name="tech43">all_size_dist_25!$K$10</definedName>
    <definedName name="tech44">all_size_dist_25!$K$11</definedName>
    <definedName name="tot_cost">all_size_dist_25!$T$15</definedName>
    <definedName name="tot_rev">all_size_dist_25!$T$13</definedName>
    <definedName name="totE">all_size_dist_25!$H$21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2" l="1"/>
  <c r="I10" i="2"/>
  <c r="J9" i="2"/>
  <c r="K8" i="2"/>
  <c r="H11" i="3"/>
  <c r="I10" i="3"/>
  <c r="J9" i="3"/>
  <c r="K8" i="3"/>
  <c r="N16" i="4"/>
  <c r="Q16" i="4"/>
  <c r="P16" i="4"/>
  <c r="O16" i="4"/>
  <c r="L15" i="4"/>
  <c r="H11" i="4"/>
  <c r="Q8" i="4" s="1"/>
  <c r="E11" i="4"/>
  <c r="D11" i="4"/>
  <c r="C11" i="4"/>
  <c r="B11" i="4"/>
  <c r="I10" i="4"/>
  <c r="P8" i="4" s="1"/>
  <c r="J9" i="4"/>
  <c r="O8" i="4" s="1"/>
  <c r="K8" i="4"/>
  <c r="N8" i="4" s="1"/>
  <c r="L15" i="3"/>
  <c r="Q16" i="3"/>
  <c r="P16" i="3"/>
  <c r="O16" i="3"/>
  <c r="Q8" i="3"/>
  <c r="P8" i="3"/>
  <c r="O8" i="3"/>
  <c r="N8" i="3"/>
  <c r="N16" i="3"/>
  <c r="R38" i="3"/>
  <c r="R37" i="3"/>
  <c r="R36" i="3"/>
  <c r="R35" i="3"/>
  <c r="R34" i="3"/>
  <c r="R33" i="3"/>
  <c r="R32" i="3"/>
  <c r="E11" i="3"/>
  <c r="D11" i="3"/>
  <c r="C11" i="3"/>
  <c r="B11" i="3"/>
  <c r="N11" i="4" l="1"/>
  <c r="N14" i="4" s="1"/>
  <c r="S16" i="4"/>
  <c r="Q11" i="4"/>
  <c r="Q14" i="4" s="1"/>
  <c r="O11" i="4"/>
  <c r="O14" i="4" s="1"/>
  <c r="P11" i="4"/>
  <c r="P14" i="4" s="1"/>
  <c r="N11" i="3"/>
  <c r="N14" i="3" s="1"/>
  <c r="Q11" i="3"/>
  <c r="Q14" i="3" s="1"/>
  <c r="P11" i="3"/>
  <c r="P14" i="3" s="1"/>
  <c r="O11" i="3"/>
  <c r="O14" i="3" s="1"/>
  <c r="S16" i="3"/>
  <c r="L15" i="2"/>
  <c r="R38" i="2"/>
  <c r="R37" i="2"/>
  <c r="R36" i="2"/>
  <c r="R35" i="2"/>
  <c r="R34" i="2"/>
  <c r="R33" i="2"/>
  <c r="R32" i="2"/>
  <c r="N16" i="2"/>
  <c r="O16" i="2"/>
  <c r="P16" i="2"/>
  <c r="Q16" i="2"/>
  <c r="E11" i="2"/>
  <c r="C11" i="2"/>
  <c r="Q8" i="2"/>
  <c r="P8" i="2"/>
  <c r="O8" i="2"/>
  <c r="N8" i="2"/>
  <c r="D11" i="2"/>
  <c r="B11" i="2"/>
  <c r="S14" i="4" l="1"/>
  <c r="S18" i="4" s="1"/>
  <c r="S14" i="3"/>
  <c r="S18" i="3" s="1"/>
  <c r="R31" i="3" s="1"/>
  <c r="O11" i="2"/>
  <c r="P11" i="2"/>
  <c r="Q11" i="2"/>
  <c r="N11" i="2"/>
  <c r="S16" i="2"/>
  <c r="Q14" i="2" l="1"/>
  <c r="P14" i="2"/>
  <c r="O14" i="2"/>
  <c r="N14" i="2" a="1"/>
  <c r="N14" i="2" s="1"/>
  <c r="S14" i="2" l="1"/>
  <c r="S18" i="2" l="1"/>
  <c r="R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<sst xmlns="http://schemas.openxmlformats.org/spreadsheetml/2006/main" count="243" uniqueCount="92">
  <si>
    <t>fish model</t>
  </si>
  <si>
    <t>pft = P*H - c*E</t>
  </si>
  <si>
    <t>P = a - b*n*H</t>
  </si>
  <si>
    <t>a (choke price)</t>
  </si>
  <si>
    <t>n (# vessels)</t>
  </si>
  <si>
    <t>X (stock)</t>
  </si>
  <si>
    <t>E (effort)</t>
  </si>
  <si>
    <t>q (catchability, targeted)</t>
  </si>
  <si>
    <t>ƪ (catchability, non-targeted)</t>
  </si>
  <si>
    <t xml:space="preserve"> </t>
  </si>
  <si>
    <t>for 2 sizes…</t>
  </si>
  <si>
    <r>
      <t xml:space="preserve">c = f + </t>
    </r>
    <r>
      <rPr>
        <sz val="11"/>
        <color theme="1"/>
        <rFont val="Calibri"/>
        <family val="2"/>
      </rPr>
      <t>Ƭċ</t>
    </r>
  </si>
  <si>
    <t>f (non-targeting costs)</t>
  </si>
  <si>
    <t>Ƭ (degree of targeting)</t>
  </si>
  <si>
    <t>ċ (cost of perfect targeting)</t>
  </si>
  <si>
    <t>pft (profit)</t>
  </si>
  <si>
    <r>
      <t>pft</t>
    </r>
    <r>
      <rPr>
        <sz val="11"/>
        <color theme="1"/>
        <rFont val="Calibri"/>
        <family val="2"/>
      </rPr>
      <t>₁ = P₁*H₁ - c₁</t>
    </r>
  </si>
  <si>
    <r>
      <t>pft₂</t>
    </r>
    <r>
      <rPr>
        <sz val="11"/>
        <color theme="1"/>
        <rFont val="Calibri"/>
        <family val="2"/>
      </rPr>
      <t xml:space="preserve"> = P₂*H₂ - c₂</t>
    </r>
  </si>
  <si>
    <t>H = Ƭ*q*E*X</t>
  </si>
  <si>
    <r>
      <t>H</t>
    </r>
    <r>
      <rPr>
        <sz val="11"/>
        <color theme="1"/>
        <rFont val="Calibri"/>
        <family val="2"/>
      </rPr>
      <t>₁</t>
    </r>
    <r>
      <rPr>
        <sz val="11"/>
        <color theme="1"/>
        <rFont val="Calibri"/>
        <family val="2"/>
        <scheme val="minor"/>
      </rPr>
      <t xml:space="preserve"> = Ƭ₁q₁E₁X₁ + Ƭ₂</t>
    </r>
    <r>
      <rPr>
        <sz val="11"/>
        <color theme="1"/>
        <rFont val="Calibri"/>
        <family val="2"/>
      </rPr>
      <t>ƪ</t>
    </r>
    <r>
      <rPr>
        <sz val="11"/>
        <color theme="1"/>
        <rFont val="Calibri"/>
        <family val="2"/>
        <scheme val="minor"/>
      </rPr>
      <t>₁E₂X₁</t>
    </r>
  </si>
  <si>
    <t>H₂ = Ƭ₂q₂E₂X₂ + Ƭ₁ƪ₂E₁X₂</t>
  </si>
  <si>
    <r>
      <t>c</t>
    </r>
    <r>
      <rPr>
        <sz val="11"/>
        <color theme="1"/>
        <rFont val="Calibri"/>
        <family val="2"/>
      </rPr>
      <t>₁</t>
    </r>
    <r>
      <rPr>
        <sz val="11"/>
        <color theme="1"/>
        <rFont val="Calibri"/>
        <family val="2"/>
        <scheme val="minor"/>
      </rPr>
      <t xml:space="preserve"> = f₁ + </t>
    </r>
    <r>
      <rPr>
        <sz val="11"/>
        <color theme="1"/>
        <rFont val="Calibri"/>
        <family val="2"/>
      </rPr>
      <t>Ƭ₁ċ₁</t>
    </r>
  </si>
  <si>
    <r>
      <t xml:space="preserve">c₂ = f₂ + </t>
    </r>
    <r>
      <rPr>
        <sz val="11"/>
        <color theme="1"/>
        <rFont val="Calibri"/>
        <family val="2"/>
      </rPr>
      <t>Ƭ₂ċ₂</t>
    </r>
  </si>
  <si>
    <t>(constraint) Ƭ₁ + Ƭ₂ = 1</t>
  </si>
  <si>
    <t>species_1</t>
  </si>
  <si>
    <t>species_2</t>
  </si>
  <si>
    <t>species_3</t>
  </si>
  <si>
    <t>species_4</t>
  </si>
  <si>
    <t>size_1</t>
  </si>
  <si>
    <t>size_2</t>
  </si>
  <si>
    <t>size_3</t>
  </si>
  <si>
    <t>size_4</t>
  </si>
  <si>
    <t>base_prices</t>
  </si>
  <si>
    <t>size_premium</t>
  </si>
  <si>
    <t>tech_1</t>
  </si>
  <si>
    <t>tech_2</t>
  </si>
  <si>
    <t>tech_3</t>
  </si>
  <si>
    <t>tech_4</t>
  </si>
  <si>
    <t>constraints:
e1+e2+e3+e4 = 1
e1, e2, e3, e4 &gt;0</t>
  </si>
  <si>
    <t>effort distribution</t>
  </si>
  <si>
    <t>total effort</t>
  </si>
  <si>
    <t>Htot = Hsp1 + Hsp2 + Hsp3 + Hsp4</t>
  </si>
  <si>
    <t>Hsp1 = Hsz1*sp11 + Hsz2*sp12 + Hsz3*sp13 + Hsz4*sp14</t>
  </si>
  <si>
    <t>Hsp4 = Hsz1*sp41 + Hsz2*sp42 + Hsz3*sp43 + Hsz4*sp44</t>
  </si>
  <si>
    <t>Hsp3 = Hsz1*sp31 + Hsz2*sp32 + Hsz3*sp33 + Hsz4*sp34</t>
  </si>
  <si>
    <t>Hsp2 = Hsz1*sp21 + Hsz2*sp22 + Hsz3*sp23 + Hsz4*sp24</t>
  </si>
  <si>
    <t>costs</t>
  </si>
  <si>
    <t>r1 = p1*Hsp1*(m1*sp11 + m2*sp12 + m3*sp13 + m4*sp14)</t>
  </si>
  <si>
    <t>r2 = p2*Hsp2*(m1*sp21 + m2*sp22 + m3*sp23 + m4*sp24)</t>
  </si>
  <si>
    <t>r3 = p3*Hsp3*(m1*sp31 + m2*sp32 + m3*sp33 + m4*sp34)</t>
  </si>
  <si>
    <t>r4 = p4*Hsp4*(m1*sp41 + m2*sp42 + m3*sp43 + m4*sp44)</t>
  </si>
  <si>
    <t>rtot = r1 + r2 + r3 + r4</t>
  </si>
  <si>
    <t>pft = rtot - c</t>
  </si>
  <si>
    <t>c1</t>
  </si>
  <si>
    <t>c2</t>
  </si>
  <si>
    <t>c3</t>
  </si>
  <si>
    <t>c4</t>
  </si>
  <si>
    <t>e1</t>
  </si>
  <si>
    <t>e2</t>
  </si>
  <si>
    <t>e3</t>
  </si>
  <si>
    <t>e4</t>
  </si>
  <si>
    <t>c = (c1*e1 + c2*e2 + c3*e3 + c4*e4)totE</t>
  </si>
  <si>
    <t>p1</t>
  </si>
  <si>
    <t>p2</t>
  </si>
  <si>
    <t>p3</t>
  </si>
  <si>
    <t>p4</t>
  </si>
  <si>
    <t>Hsz1</t>
  </si>
  <si>
    <t>Hsz2</t>
  </si>
  <si>
    <t>Hsz3</t>
  </si>
  <si>
    <t>Hsz4</t>
  </si>
  <si>
    <t>Hsp1</t>
  </si>
  <si>
    <t>Hsp2</t>
  </si>
  <si>
    <t>Hsp3</t>
  </si>
  <si>
    <t>Hsp4</t>
  </si>
  <si>
    <t>r1</t>
  </si>
  <si>
    <t>r2</t>
  </si>
  <si>
    <t>r3</t>
  </si>
  <si>
    <t>r4</t>
  </si>
  <si>
    <t>rtot</t>
  </si>
  <si>
    <t>ctot</t>
  </si>
  <si>
    <t>pft</t>
  </si>
  <si>
    <t>Hsz1 = totE*(tech11*e1 + tech21*e2 + tech31*e3 +tech41*e4)</t>
  </si>
  <si>
    <t>Hsz2 = totE*(tech12*e1 + tech22*e2 + tech32*e3 +tech42*e4)</t>
  </si>
  <si>
    <t>Hsz3 = totE*(tech13*e1 + tech23*e2 + tech33*e3 +tech43*e4)</t>
  </si>
  <si>
    <t>Hsz4 = totE*(tech14*e1 + tech24*e2 + tech34*e3 +tech44*e4)</t>
  </si>
  <si>
    <t>Biology</t>
  </si>
  <si>
    <t>size_dist</t>
  </si>
  <si>
    <t>Species</t>
  </si>
  <si>
    <t>Technology</t>
  </si>
  <si>
    <t>Fishery</t>
  </si>
  <si>
    <t>Market</t>
  </si>
  <si>
    <t>This calculates the maximum profit based on selecting a distribution of fishery effort across technologies. The technologies are size-selective, and have associated respective costs.
The market has different prices per species, however, not per size. Within a species, the market rewards larger sizes which is included in the model with a size_premium variable.
Biologically, it is known that each species has an associated size distribution as indicated with the size_dist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</si>
</sst>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/>
    </xf>
    <xf numFmtId="0" fontId="8" fillId="0" borderId="0" xfId="0" applyFont="1" applyAlignment="1">
      <alignment vertical="top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center" vertical="top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D76F-B0F4-4F8C-AF75-EC319190D83E}">
  <dimension ref="A1:H18"/>
  <sheetViews>
    <sheetView workbookViewId="0">
      <selection activeCell="H13" sqref="H13"/>
    </sheetView>
  </sheetViews>
  <sheetFormatPr defaultRowHeight="14.25" x14ac:dyDescent="0.45"/>
  <sheetData>
    <row r="1" spans="1:8" x14ac:dyDescent="0.45">
      <c r="A1" s="2" t="s">
        <v>0</v>
      </c>
      <c r="C1" t="s">
        <v>1</v>
      </c>
      <c r="F1" t="s">
        <v>11</v>
      </c>
      <c r="H1" s="1" t="s">
        <v>23</v>
      </c>
    </row>
    <row r="3" spans="1:8" x14ac:dyDescent="0.45">
      <c r="A3" t="s">
        <v>15</v>
      </c>
      <c r="C3" t="s">
        <v>2</v>
      </c>
    </row>
    <row r="4" spans="1:8" x14ac:dyDescent="0.45">
      <c r="A4" t="s">
        <v>3</v>
      </c>
    </row>
    <row r="5" spans="1:8" x14ac:dyDescent="0.45">
      <c r="A5" t="s">
        <v>4</v>
      </c>
      <c r="C5" t="s">
        <v>18</v>
      </c>
    </row>
    <row r="6" spans="1:8" x14ac:dyDescent="0.45">
      <c r="A6" t="s">
        <v>12</v>
      </c>
    </row>
    <row r="7" spans="1:8" x14ac:dyDescent="0.45">
      <c r="A7" t="s">
        <v>13</v>
      </c>
    </row>
    <row r="8" spans="1:8" x14ac:dyDescent="0.45">
      <c r="A8" t="s">
        <v>14</v>
      </c>
    </row>
    <row r="9" spans="1:8" x14ac:dyDescent="0.45">
      <c r="A9" t="s">
        <v>7</v>
      </c>
    </row>
    <row r="10" spans="1:8" x14ac:dyDescent="0.45">
      <c r="A10" t="s">
        <v>8</v>
      </c>
    </row>
    <row r="11" spans="1:8" x14ac:dyDescent="0.45">
      <c r="A11" t="s">
        <v>5</v>
      </c>
    </row>
    <row r="12" spans="1:8" x14ac:dyDescent="0.45">
      <c r="A12" t="s">
        <v>6</v>
      </c>
      <c r="C12" t="s">
        <v>10</v>
      </c>
    </row>
    <row r="13" spans="1:8" x14ac:dyDescent="0.45">
      <c r="C13" t="s">
        <v>19</v>
      </c>
      <c r="F13" t="s">
        <v>16</v>
      </c>
      <c r="H13" t="s">
        <v>21</v>
      </c>
    </row>
    <row r="14" spans="1:8" x14ac:dyDescent="0.45">
      <c r="C14" t="s">
        <v>20</v>
      </c>
      <c r="F14" t="s">
        <v>17</v>
      </c>
      <c r="H14" t="s">
        <v>22</v>
      </c>
    </row>
    <row r="18" spans="3:3" x14ac:dyDescent="0.45">
      <c r="C1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E12C-AD01-417C-9422-337800E456D5}">
  <dimension ref="A1:S38"/>
  <sheetViews>
    <sheetView workbookViewId="0">
      <selection activeCell="S18" sqref="S18"/>
    </sheetView>
  </sheetViews>
  <sheetFormatPr defaultRowHeight="14.25" x14ac:dyDescent="0.45"/>
  <cols>
    <col min="18" max="18" width="3.53125" customWidth="1"/>
  </cols>
  <sheetData>
    <row r="1" spans="1:19" x14ac:dyDescent="0.45">
      <c r="A1" s="12" t="s">
        <v>91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4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4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45">
      <c r="A5" s="14" t="s">
        <v>85</v>
      </c>
      <c r="B5" s="14"/>
      <c r="C5" s="14"/>
      <c r="D5" s="14"/>
      <c r="E5" s="14"/>
      <c r="F5" s="6"/>
      <c r="G5" s="7" t="s">
        <v>90</v>
      </c>
      <c r="H5" s="17" t="s">
        <v>89</v>
      </c>
      <c r="I5" s="17"/>
      <c r="J5" s="17"/>
      <c r="K5" s="17"/>
      <c r="L5" s="6"/>
      <c r="M5" s="6"/>
      <c r="N5" s="6"/>
      <c r="O5" s="6"/>
      <c r="P5" s="6"/>
      <c r="Q5" s="6"/>
      <c r="R5" s="6"/>
      <c r="S5" s="6"/>
    </row>
    <row r="6" spans="1:19" x14ac:dyDescent="0.45">
      <c r="A6" s="10" t="s">
        <v>86</v>
      </c>
      <c r="B6" s="15" t="s">
        <v>87</v>
      </c>
      <c r="C6" s="15"/>
      <c r="D6" s="15"/>
      <c r="E6" s="15"/>
      <c r="G6" s="8" t="s">
        <v>33</v>
      </c>
      <c r="H6" s="16" t="s">
        <v>88</v>
      </c>
      <c r="I6" s="16"/>
      <c r="J6" s="16"/>
      <c r="K6" s="16"/>
    </row>
    <row r="7" spans="1:19" s="2" customFormat="1" x14ac:dyDescent="0.45">
      <c r="A7" s="10"/>
      <c r="B7" s="10" t="s">
        <v>24</v>
      </c>
      <c r="C7" s="10" t="s">
        <v>25</v>
      </c>
      <c r="D7" s="10" t="s">
        <v>26</v>
      </c>
      <c r="E7" s="10" t="s">
        <v>27</v>
      </c>
      <c r="G7" s="8"/>
      <c r="H7" s="2" t="s">
        <v>34</v>
      </c>
      <c r="I7" s="2" t="s">
        <v>35</v>
      </c>
      <c r="J7" s="2" t="s">
        <v>36</v>
      </c>
      <c r="K7" s="2" t="s">
        <v>37</v>
      </c>
      <c r="N7" s="2" t="s">
        <v>66</v>
      </c>
      <c r="O7" s="2" t="s">
        <v>67</v>
      </c>
      <c r="P7" s="2" t="s">
        <v>68</v>
      </c>
      <c r="Q7" s="2" t="s">
        <v>69</v>
      </c>
    </row>
    <row r="8" spans="1:19" x14ac:dyDescent="0.45">
      <c r="A8" s="10" t="s">
        <v>28</v>
      </c>
      <c r="B8" s="3">
        <v>0.25</v>
      </c>
      <c r="C8" s="3">
        <v>0.25</v>
      </c>
      <c r="D8" s="3">
        <v>0.25</v>
      </c>
      <c r="E8" s="3">
        <v>0.25</v>
      </c>
      <c r="G8" s="5">
        <v>1</v>
      </c>
      <c r="H8">
        <v>0.1</v>
      </c>
      <c r="I8">
        <v>0.1</v>
      </c>
      <c r="J8">
        <v>0.1</v>
      </c>
      <c r="K8">
        <f>1-SUM(K9:K11)</f>
        <v>0.7</v>
      </c>
      <c r="N8">
        <f xml:space="preserve"> totE*(tech11*e_1 + tech21*e_2 + tech31*e_3 +tech41*e_4)</f>
        <v>10</v>
      </c>
      <c r="O8">
        <f xml:space="preserve"> totE*(tech12*e_1 + tech22*e_2 + tech32*e_3 +tech42*e_4)</f>
        <v>10</v>
      </c>
      <c r="P8">
        <f xml:space="preserve"> totE*(tech13*e_1 + tech23*e_2 + tech33*e_3 +tech43*e_4)</f>
        <v>70</v>
      </c>
      <c r="Q8">
        <f xml:space="preserve"> totE*(tech14*e_1 + tech24*e_2 + tech34*e_3 +tech44*e_4)</f>
        <v>10</v>
      </c>
    </row>
    <row r="9" spans="1:19" x14ac:dyDescent="0.45">
      <c r="A9" s="10" t="s">
        <v>29</v>
      </c>
      <c r="B9" s="3">
        <v>0.25</v>
      </c>
      <c r="C9" s="3">
        <v>0.25</v>
      </c>
      <c r="D9" s="3">
        <v>0.25</v>
      </c>
      <c r="E9" s="3">
        <v>0.25</v>
      </c>
      <c r="G9" s="5">
        <v>1.1000000000000001</v>
      </c>
      <c r="H9">
        <v>0.1</v>
      </c>
      <c r="I9">
        <v>0.1</v>
      </c>
      <c r="J9">
        <f>1-SUM(J10:J11,J8)</f>
        <v>0.7</v>
      </c>
      <c r="K9">
        <v>0.1</v>
      </c>
    </row>
    <row r="10" spans="1:19" x14ac:dyDescent="0.45">
      <c r="A10" s="10" t="s">
        <v>30</v>
      </c>
      <c r="B10" s="3">
        <v>0.25</v>
      </c>
      <c r="C10" s="3">
        <v>0.25</v>
      </c>
      <c r="D10" s="3">
        <v>0.25</v>
      </c>
      <c r="E10" s="3">
        <v>0.25</v>
      </c>
      <c r="G10" s="5">
        <v>1.1499999999999999</v>
      </c>
      <c r="H10">
        <v>0.1</v>
      </c>
      <c r="I10">
        <f>1-SUM(I8:I9,I11)</f>
        <v>0.7</v>
      </c>
      <c r="J10">
        <v>0.1</v>
      </c>
      <c r="K10">
        <v>0.1</v>
      </c>
      <c r="N10" s="2" t="s">
        <v>70</v>
      </c>
      <c r="O10" s="2" t="s">
        <v>71</v>
      </c>
      <c r="P10" s="2" t="s">
        <v>72</v>
      </c>
      <c r="Q10" s="2" t="s">
        <v>73</v>
      </c>
    </row>
    <row r="11" spans="1:19" x14ac:dyDescent="0.45">
      <c r="A11" s="10" t="s">
        <v>31</v>
      </c>
      <c r="B11" s="3">
        <f>1-SUM(B8:B10)</f>
        <v>0.25</v>
      </c>
      <c r="C11" s="3">
        <f t="shared" ref="C11:E11" si="0">1-SUM(C8:C10)</f>
        <v>0.25</v>
      </c>
      <c r="D11" s="3">
        <f t="shared" si="0"/>
        <v>0.25</v>
      </c>
      <c r="E11" s="3">
        <f t="shared" si="0"/>
        <v>0.25</v>
      </c>
      <c r="G11" s="5">
        <v>1.25</v>
      </c>
      <c r="H11">
        <f>1-SUM(H8:H10)</f>
        <v>0.7</v>
      </c>
      <c r="I11">
        <v>0.1</v>
      </c>
      <c r="J11">
        <v>0.1</v>
      </c>
      <c r="K11">
        <v>0.1</v>
      </c>
      <c r="N11">
        <f xml:space="preserve"> Hsz_1*sp_11 + Hsz_2*sp_12 + Hsz_3*sp_13 + Hsz_4*sp_14</f>
        <v>25</v>
      </c>
      <c r="O11">
        <f xml:space="preserve"> Hsz_1*sp_21 + Hsz_2*sp_22 + Hsz_3*sp_23 + Hsz_4*sp_24</f>
        <v>25</v>
      </c>
      <c r="P11">
        <f xml:space="preserve"> Hsz_1*sp_31 + Hsz_2*sp_32 + Hsz_3*sp_33 + Hsz_4*sp_34</f>
        <v>25</v>
      </c>
      <c r="Q11">
        <f xml:space="preserve"> Hsz_1*sp_41 + Hsz_2*sp_42 + Hsz_3*sp_43 + Hsz_4*sp_44</f>
        <v>25</v>
      </c>
    </row>
    <row r="12" spans="1:19" x14ac:dyDescent="0.45">
      <c r="A12" s="2"/>
      <c r="G12" s="4"/>
      <c r="H12" s="9" t="s">
        <v>53</v>
      </c>
      <c r="I12" s="9" t="s">
        <v>54</v>
      </c>
      <c r="J12" s="9" t="s">
        <v>55</v>
      </c>
      <c r="K12" s="9" t="s">
        <v>56</v>
      </c>
    </row>
    <row r="13" spans="1:19" x14ac:dyDescent="0.45">
      <c r="A13" s="18" t="s">
        <v>90</v>
      </c>
      <c r="B13" s="18"/>
      <c r="C13" s="18"/>
      <c r="D13" s="18"/>
      <c r="E13" s="18"/>
      <c r="G13" s="9" t="s">
        <v>46</v>
      </c>
      <c r="H13" s="4">
        <v>4</v>
      </c>
      <c r="I13" s="4">
        <v>1</v>
      </c>
      <c r="J13" s="4">
        <v>2</v>
      </c>
      <c r="K13" s="4">
        <v>3</v>
      </c>
      <c r="N13" s="2" t="s">
        <v>74</v>
      </c>
      <c r="O13" s="2" t="s">
        <v>75</v>
      </c>
      <c r="P13" s="2" t="s">
        <v>76</v>
      </c>
      <c r="Q13" s="2" t="s">
        <v>77</v>
      </c>
      <c r="R13" s="2"/>
      <c r="S13" s="2" t="s">
        <v>78</v>
      </c>
    </row>
    <row r="14" spans="1:19" x14ac:dyDescent="0.45">
      <c r="A14" s="8"/>
      <c r="B14" s="8" t="s">
        <v>62</v>
      </c>
      <c r="C14" s="8" t="s">
        <v>63</v>
      </c>
      <c r="D14" s="8" t="s">
        <v>64</v>
      </c>
      <c r="E14" s="8" t="s">
        <v>65</v>
      </c>
      <c r="G14" s="2"/>
      <c r="H14" s="2" t="s">
        <v>57</v>
      </c>
      <c r="I14" s="2" t="s">
        <v>58</v>
      </c>
      <c r="J14" s="2" t="s">
        <v>59</v>
      </c>
      <c r="K14" s="2" t="s">
        <v>60</v>
      </c>
      <c r="N14" cm="1">
        <f t="array" ref="N14" xml:space="preserve"> p_1*Hsp_1*(m_1*sp_11 + m_2*sp_12 + m_3*sp_13 + m_4*sp_14)</f>
        <v>168.75</v>
      </c>
      <c r="O14">
        <f xml:space="preserve"> p_2*Hsp_2*(m_1*sp_21 + m_2*sp_22 + m_3*sp_23 + m_4*sp_24)</f>
        <v>140.625</v>
      </c>
      <c r="P14">
        <f xml:space="preserve"> p_3*Hsp_3*(m_1*sp_31 + m_2*sp_32 + m_3*sp_33 + m_4*sp_34)</f>
        <v>112.5</v>
      </c>
      <c r="Q14">
        <f xml:space="preserve"> p_4*Hsp_4*(m_1*sp_41 + m_2*sp_42 + m_3*sp_43 + m_4*sp_44)</f>
        <v>84.375</v>
      </c>
      <c r="S14">
        <f>SUM(N14:Q14)</f>
        <v>506.25</v>
      </c>
    </row>
    <row r="15" spans="1:19" x14ac:dyDescent="0.45">
      <c r="A15" s="8" t="s">
        <v>32</v>
      </c>
      <c r="B15" s="5">
        <v>6</v>
      </c>
      <c r="C15" s="5">
        <v>5</v>
      </c>
      <c r="D15" s="5">
        <v>4</v>
      </c>
      <c r="E15" s="5">
        <v>3</v>
      </c>
      <c r="G15" s="2" t="s">
        <v>39</v>
      </c>
      <c r="H15">
        <v>0</v>
      </c>
      <c r="I15">
        <v>1</v>
      </c>
      <c r="J15">
        <v>0</v>
      </c>
      <c r="K15">
        <v>0</v>
      </c>
      <c r="L15">
        <f>SUM(H15:K15)</f>
        <v>1</v>
      </c>
      <c r="N15" s="2" t="s">
        <v>53</v>
      </c>
      <c r="O15" s="2" t="s">
        <v>54</v>
      </c>
      <c r="P15" s="2" t="s">
        <v>55</v>
      </c>
      <c r="Q15" s="2" t="s">
        <v>56</v>
      </c>
      <c r="R15" s="2"/>
      <c r="S15" s="2" t="s">
        <v>79</v>
      </c>
    </row>
    <row r="16" spans="1:19" ht="14.25" customHeight="1" x14ac:dyDescent="0.45">
      <c r="G16" s="11" t="s">
        <v>38</v>
      </c>
      <c r="H16" s="11"/>
      <c r="I16" s="11"/>
      <c r="J16" s="11"/>
      <c r="K16" s="11"/>
      <c r="N16">
        <f>c_1*e_1*totE</f>
        <v>0</v>
      </c>
      <c r="O16">
        <f>c_2*e_2*totE</f>
        <v>100</v>
      </c>
      <c r="P16">
        <f>c_3*e_3*totE</f>
        <v>0</v>
      </c>
      <c r="Q16">
        <f>c_4*e_4*totE</f>
        <v>0</v>
      </c>
      <c r="S16">
        <f>SUM(N16:Q16)</f>
        <v>100</v>
      </c>
    </row>
    <row r="17" spans="1:19" x14ac:dyDescent="0.45">
      <c r="G17" s="11"/>
      <c r="H17" s="11"/>
      <c r="I17" s="11"/>
      <c r="J17" s="11"/>
      <c r="K17" s="11"/>
      <c r="S17" s="2" t="s">
        <v>80</v>
      </c>
    </row>
    <row r="18" spans="1:19" x14ac:dyDescent="0.45">
      <c r="A18" s="3" t="s">
        <v>81</v>
      </c>
      <c r="B18" s="3"/>
      <c r="C18" s="3"/>
      <c r="D18" s="3"/>
      <c r="E18" s="3"/>
      <c r="F18" s="3"/>
      <c r="G18" s="11"/>
      <c r="H18" s="11"/>
      <c r="I18" s="11"/>
      <c r="J18" s="11"/>
      <c r="K18" s="11"/>
      <c r="S18">
        <f>rtot-ctot</f>
        <v>406.25</v>
      </c>
    </row>
    <row r="19" spans="1:19" x14ac:dyDescent="0.45">
      <c r="A19" s="3" t="s">
        <v>82</v>
      </c>
      <c r="B19" s="3"/>
      <c r="C19" s="3"/>
      <c r="D19" s="3"/>
      <c r="E19" s="3"/>
      <c r="F19" s="3"/>
      <c r="G19" s="11"/>
      <c r="H19" s="11"/>
      <c r="I19" s="11"/>
      <c r="J19" s="11"/>
      <c r="K19" s="11"/>
    </row>
    <row r="20" spans="1:19" x14ac:dyDescent="0.45">
      <c r="A20" s="3" t="s">
        <v>83</v>
      </c>
      <c r="B20" s="3"/>
      <c r="C20" s="3"/>
      <c r="D20" s="3"/>
      <c r="E20" s="3"/>
      <c r="F20" s="3"/>
    </row>
    <row r="21" spans="1:19" x14ac:dyDescent="0.45">
      <c r="A21" s="3" t="s">
        <v>84</v>
      </c>
      <c r="B21" s="3"/>
      <c r="C21" s="3"/>
      <c r="D21" s="3"/>
      <c r="E21" s="3"/>
      <c r="F21" s="3"/>
      <c r="G21" s="2" t="s">
        <v>40</v>
      </c>
      <c r="H21">
        <v>100</v>
      </c>
    </row>
    <row r="22" spans="1:19" x14ac:dyDescent="0.45">
      <c r="A22" s="3"/>
      <c r="B22" s="3"/>
      <c r="C22" s="3"/>
      <c r="D22" s="3"/>
      <c r="E22" s="3"/>
      <c r="F22" s="3"/>
    </row>
    <row r="23" spans="1:19" x14ac:dyDescent="0.45">
      <c r="A23" s="3" t="s">
        <v>42</v>
      </c>
      <c r="B23" s="3"/>
      <c r="C23" s="3"/>
      <c r="D23" s="3"/>
      <c r="E23" s="3"/>
      <c r="F23" s="3"/>
    </row>
    <row r="24" spans="1:19" x14ac:dyDescent="0.45">
      <c r="A24" s="3" t="s">
        <v>45</v>
      </c>
      <c r="B24" s="3"/>
      <c r="C24" s="3"/>
      <c r="D24" s="3"/>
      <c r="E24" s="3"/>
      <c r="F24" s="3"/>
    </row>
    <row r="25" spans="1:19" x14ac:dyDescent="0.45">
      <c r="A25" s="3" t="s">
        <v>44</v>
      </c>
      <c r="B25" s="3"/>
      <c r="C25" s="3"/>
      <c r="D25" s="3"/>
      <c r="E25" s="3"/>
      <c r="F25" s="3"/>
    </row>
    <row r="26" spans="1:19" x14ac:dyDescent="0.45">
      <c r="A26" s="3" t="s">
        <v>43</v>
      </c>
      <c r="B26" s="3"/>
      <c r="C26" s="3"/>
      <c r="D26" s="3"/>
      <c r="E26" s="3"/>
      <c r="F26" s="3"/>
    </row>
    <row r="27" spans="1:19" x14ac:dyDescent="0.45">
      <c r="A27" s="3"/>
      <c r="B27" s="3"/>
      <c r="C27" s="3"/>
      <c r="D27" s="3"/>
      <c r="E27" s="3"/>
      <c r="F27" s="3"/>
    </row>
    <row r="28" spans="1:19" x14ac:dyDescent="0.45">
      <c r="A28" s="3" t="s">
        <v>41</v>
      </c>
      <c r="B28" s="3"/>
      <c r="C28" s="3"/>
      <c r="D28" s="3"/>
      <c r="E28" s="3"/>
      <c r="F28" s="3"/>
    </row>
    <row r="29" spans="1:19" x14ac:dyDescent="0.45">
      <c r="A29" s="3"/>
      <c r="B29" s="3"/>
      <c r="C29" s="3"/>
      <c r="D29" s="3"/>
      <c r="E29" s="3"/>
      <c r="F29" s="3"/>
    </row>
    <row r="30" spans="1:19" x14ac:dyDescent="0.45">
      <c r="A30" s="5" t="s">
        <v>47</v>
      </c>
      <c r="B30" s="3"/>
      <c r="C30" s="3"/>
      <c r="D30" s="3"/>
      <c r="E30" s="3"/>
      <c r="F30" s="3"/>
    </row>
    <row r="31" spans="1:19" x14ac:dyDescent="0.45">
      <c r="A31" s="5" t="s">
        <v>48</v>
      </c>
      <c r="B31" s="3"/>
      <c r="C31" s="3"/>
      <c r="D31" s="3"/>
      <c r="E31" s="3"/>
      <c r="F31" s="3"/>
      <c r="R31">
        <f>MAX($S$18)</f>
        <v>406.25</v>
      </c>
    </row>
    <row r="32" spans="1:19" x14ac:dyDescent="0.45">
      <c r="A32" s="5" t="s">
        <v>49</v>
      </c>
      <c r="B32" s="3"/>
      <c r="C32" s="3"/>
      <c r="D32" s="3"/>
      <c r="E32" s="3"/>
      <c r="F32" s="3"/>
      <c r="R32">
        <f>COUNT($H$15:$K$15)</f>
        <v>4</v>
      </c>
    </row>
    <row r="33" spans="1:18" x14ac:dyDescent="0.45">
      <c r="A33" s="5" t="s">
        <v>50</v>
      </c>
      <c r="B33" s="3"/>
      <c r="C33" s="3"/>
      <c r="D33" s="3"/>
      <c r="E33" s="3"/>
      <c r="F33" s="3"/>
      <c r="G33" s="4" t="s">
        <v>61</v>
      </c>
      <c r="R33" t="b">
        <f>e_1&gt;=0</f>
        <v>1</v>
      </c>
    </row>
    <row r="34" spans="1:18" x14ac:dyDescent="0.45">
      <c r="A34" s="5"/>
      <c r="B34" s="3"/>
      <c r="C34" s="3"/>
      <c r="D34" s="3"/>
      <c r="E34" s="3"/>
      <c r="F34" s="3"/>
      <c r="R34" t="b">
        <f>e_2&gt;=0</f>
        <v>1</v>
      </c>
    </row>
    <row r="35" spans="1:18" x14ac:dyDescent="0.45">
      <c r="A35" s="5" t="s">
        <v>51</v>
      </c>
      <c r="B35" s="3"/>
      <c r="C35" s="3"/>
      <c r="D35" s="3"/>
      <c r="E35" s="3"/>
      <c r="F35" s="3"/>
      <c r="R35" t="b">
        <f>e_3&gt;=0</f>
        <v>1</v>
      </c>
    </row>
    <row r="36" spans="1:18" x14ac:dyDescent="0.45">
      <c r="A36" s="5"/>
      <c r="B36" s="3"/>
      <c r="C36" s="3"/>
      <c r="D36" s="3"/>
      <c r="E36" s="3"/>
      <c r="F36" s="3"/>
      <c r="R36" t="b">
        <f>e_4&gt;=0</f>
        <v>1</v>
      </c>
    </row>
    <row r="37" spans="1:18" x14ac:dyDescent="0.45">
      <c r="A37" s="5" t="s">
        <v>52</v>
      </c>
      <c r="B37" s="3"/>
      <c r="C37" s="3"/>
      <c r="D37" s="3"/>
      <c r="E37" s="3"/>
      <c r="F37" s="3"/>
      <c r="R37">
        <f>{32767,32767,0.000001,0.01,FALSE,FALSE,TRUE,1,1,1,0.0001,TRUE}</f>
        <v>32767</v>
      </c>
    </row>
    <row r="38" spans="1:18" x14ac:dyDescent="0.45">
      <c r="R38">
        <f>{0,0,1,100,0,FALSE,TRUE,0.075,0,0,FALSE,30}</f>
        <v>0</v>
      </c>
    </row>
  </sheetData>
  <mergeCells count="7">
    <mergeCell ref="G16:K19"/>
    <mergeCell ref="A1:S4"/>
    <mergeCell ref="A5:E5"/>
    <mergeCell ref="B6:E6"/>
    <mergeCell ref="H6:K6"/>
    <mergeCell ref="H5:K5"/>
    <mergeCell ref="A13:E13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0020-D63E-4B34-826D-BD8FFFC2BFCE}">
  <dimension ref="A1:S38"/>
  <sheetViews>
    <sheetView workbookViewId="0">
      <selection activeCell="S18" sqref="S18"/>
    </sheetView>
  </sheetViews>
  <sheetFormatPr defaultRowHeight="14.25" x14ac:dyDescent="0.45"/>
  <cols>
    <col min="18" max="18" width="3.53125" customWidth="1"/>
  </cols>
  <sheetData>
    <row r="1" spans="1:19" x14ac:dyDescent="0.45">
      <c r="A1" s="12" t="s">
        <v>91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4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4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45">
      <c r="A5" s="14" t="s">
        <v>85</v>
      </c>
      <c r="B5" s="14"/>
      <c r="C5" s="14"/>
      <c r="D5" s="14"/>
      <c r="E5" s="14"/>
      <c r="F5" s="6"/>
      <c r="G5" s="7" t="s">
        <v>90</v>
      </c>
      <c r="H5" s="17" t="s">
        <v>89</v>
      </c>
      <c r="I5" s="17"/>
      <c r="J5" s="17"/>
      <c r="K5" s="17"/>
      <c r="L5" s="6"/>
      <c r="M5" s="6"/>
      <c r="N5" s="6"/>
      <c r="O5" s="6"/>
      <c r="P5" s="6"/>
      <c r="Q5" s="6"/>
      <c r="R5" s="6"/>
      <c r="S5" s="6"/>
    </row>
    <row r="6" spans="1:19" x14ac:dyDescent="0.45">
      <c r="A6" s="10" t="s">
        <v>86</v>
      </c>
      <c r="B6" s="15" t="s">
        <v>87</v>
      </c>
      <c r="C6" s="15"/>
      <c r="D6" s="15"/>
      <c r="E6" s="15"/>
      <c r="G6" s="8" t="s">
        <v>33</v>
      </c>
      <c r="H6" s="16" t="s">
        <v>88</v>
      </c>
      <c r="I6" s="16"/>
      <c r="J6" s="16"/>
      <c r="K6" s="16"/>
    </row>
    <row r="7" spans="1:19" s="2" customFormat="1" x14ac:dyDescent="0.45">
      <c r="A7" s="10"/>
      <c r="B7" s="10" t="s">
        <v>24</v>
      </c>
      <c r="C7" s="10" t="s">
        <v>25</v>
      </c>
      <c r="D7" s="10" t="s">
        <v>26</v>
      </c>
      <c r="E7" s="10" t="s">
        <v>27</v>
      </c>
      <c r="G7" s="8"/>
      <c r="H7" s="2" t="s">
        <v>34</v>
      </c>
      <c r="I7" s="2" t="s">
        <v>35</v>
      </c>
      <c r="J7" s="2" t="s">
        <v>36</v>
      </c>
      <c r="K7" s="2" t="s">
        <v>37</v>
      </c>
      <c r="N7" s="2" t="s">
        <v>66</v>
      </c>
      <c r="O7" s="2" t="s">
        <v>67</v>
      </c>
      <c r="P7" s="2" t="s">
        <v>68</v>
      </c>
      <c r="Q7" s="2" t="s">
        <v>69</v>
      </c>
    </row>
    <row r="8" spans="1:19" x14ac:dyDescent="0.45">
      <c r="A8" s="10" t="s">
        <v>28</v>
      </c>
      <c r="B8" s="3">
        <v>0.1</v>
      </c>
      <c r="C8" s="3">
        <v>0.1</v>
      </c>
      <c r="D8" s="3">
        <v>0.3</v>
      </c>
      <c r="E8" s="3">
        <v>0.4</v>
      </c>
      <c r="G8" s="5">
        <v>1</v>
      </c>
      <c r="H8">
        <v>0.1</v>
      </c>
      <c r="I8">
        <v>0.1</v>
      </c>
      <c r="J8">
        <v>0.1</v>
      </c>
      <c r="K8">
        <f>1-SUM(K9:K11)</f>
        <v>0.7</v>
      </c>
      <c r="N8">
        <f xml:space="preserve"> H21*(H8*H15+ I8*I15 +J8*J15 +K8*K15)</f>
        <v>10.000000000000004</v>
      </c>
      <c r="O8">
        <f>H21*(H9*H15 +I9*I15 + J9*J15 +K9*K15)</f>
        <v>10.000000000000004</v>
      </c>
      <c r="P8">
        <f xml:space="preserve"> totE*(H10*H15 + I10*I15 + J10*J15 +K10*K15)</f>
        <v>70</v>
      </c>
      <c r="Q8">
        <f xml:space="preserve"> totE*(H11*H15 + I11*I15 + J11*J15+K11*K15)</f>
        <v>10.000000000000004</v>
      </c>
    </row>
    <row r="9" spans="1:19" x14ac:dyDescent="0.45">
      <c r="A9" s="10" t="s">
        <v>29</v>
      </c>
      <c r="B9" s="3">
        <v>0.2</v>
      </c>
      <c r="C9" s="3">
        <v>0.2</v>
      </c>
      <c r="D9" s="3">
        <v>0.4</v>
      </c>
      <c r="E9" s="3">
        <v>0.3</v>
      </c>
      <c r="G9" s="5">
        <v>1.1000000000000001</v>
      </c>
      <c r="H9">
        <v>0.1</v>
      </c>
      <c r="I9">
        <v>0.1</v>
      </c>
      <c r="J9">
        <f>1-SUM(J10:J11,J8)</f>
        <v>0.7</v>
      </c>
      <c r="K9">
        <v>0.1</v>
      </c>
    </row>
    <row r="10" spans="1:19" x14ac:dyDescent="0.45">
      <c r="A10" s="10" t="s">
        <v>30</v>
      </c>
      <c r="B10" s="3">
        <v>0.3</v>
      </c>
      <c r="C10" s="3">
        <v>0.4</v>
      </c>
      <c r="D10" s="3">
        <v>0.2</v>
      </c>
      <c r="E10" s="3">
        <v>0.2</v>
      </c>
      <c r="G10" s="5">
        <v>1.1499999999999999</v>
      </c>
      <c r="H10">
        <v>0.1</v>
      </c>
      <c r="I10">
        <f>1-SUM(I8:I9,I11)</f>
        <v>0.7</v>
      </c>
      <c r="J10">
        <v>0.1</v>
      </c>
      <c r="K10">
        <v>0.1</v>
      </c>
      <c r="N10" s="2" t="s">
        <v>70</v>
      </c>
      <c r="O10" s="2" t="s">
        <v>71</v>
      </c>
      <c r="P10" s="2" t="s">
        <v>72</v>
      </c>
      <c r="Q10" s="2" t="s">
        <v>73</v>
      </c>
    </row>
    <row r="11" spans="1:19" x14ac:dyDescent="0.45">
      <c r="A11" s="10" t="s">
        <v>31</v>
      </c>
      <c r="B11" s="3">
        <f>1-SUM(B8:B10)</f>
        <v>0.39999999999999991</v>
      </c>
      <c r="C11" s="3">
        <f t="shared" ref="C11:E11" si="0">1-SUM(C8:C10)</f>
        <v>0.29999999999999993</v>
      </c>
      <c r="D11" s="3">
        <f t="shared" si="0"/>
        <v>0.10000000000000009</v>
      </c>
      <c r="E11" s="3">
        <f t="shared" si="0"/>
        <v>0.10000000000000009</v>
      </c>
      <c r="G11" s="5">
        <v>1.25</v>
      </c>
      <c r="H11">
        <f>1-SUM(H8:H10)</f>
        <v>0.7</v>
      </c>
      <c r="I11">
        <v>0.1</v>
      </c>
      <c r="J11">
        <v>0.1</v>
      </c>
      <c r="K11">
        <v>0.1</v>
      </c>
      <c r="N11">
        <f xml:space="preserve"> N8*B8 + O8*B9 + P8*B10 + Q8*B11</f>
        <v>28</v>
      </c>
      <c r="O11">
        <f xml:space="preserve"> N8*C8+ O8*C9 + P8*C10 + Q8*C11</f>
        <v>34</v>
      </c>
      <c r="P11">
        <f xml:space="preserve"> N8*D8 + O8*D9 + P8*D10 + Q8*D11</f>
        <v>22.000000000000004</v>
      </c>
      <c r="Q11">
        <f xml:space="preserve"> N8*E8 + O8*E9 + P8*E10 + Q8*E11</f>
        <v>22.000000000000004</v>
      </c>
    </row>
    <row r="12" spans="1:19" x14ac:dyDescent="0.45">
      <c r="A12" s="2"/>
      <c r="G12" s="4"/>
      <c r="H12" s="9" t="s">
        <v>53</v>
      </c>
      <c r="I12" s="9" t="s">
        <v>54</v>
      </c>
      <c r="J12" s="9" t="s">
        <v>55</v>
      </c>
      <c r="K12" s="9" t="s">
        <v>56</v>
      </c>
    </row>
    <row r="13" spans="1:19" x14ac:dyDescent="0.45">
      <c r="A13" s="18" t="s">
        <v>90</v>
      </c>
      <c r="B13" s="18"/>
      <c r="C13" s="18"/>
      <c r="D13" s="18"/>
      <c r="E13" s="18"/>
      <c r="G13" s="9" t="s">
        <v>46</v>
      </c>
      <c r="H13" s="4">
        <v>4</v>
      </c>
      <c r="I13" s="4">
        <v>1</v>
      </c>
      <c r="J13" s="4">
        <v>2</v>
      </c>
      <c r="K13" s="4">
        <v>3</v>
      </c>
      <c r="N13" s="2" t="s">
        <v>74</v>
      </c>
      <c r="O13" s="2" t="s">
        <v>75</v>
      </c>
      <c r="P13" s="2" t="s">
        <v>76</v>
      </c>
      <c r="Q13" s="2" t="s">
        <v>77</v>
      </c>
      <c r="R13" s="2"/>
      <c r="S13" s="2" t="s">
        <v>78</v>
      </c>
    </row>
    <row r="14" spans="1:19" x14ac:dyDescent="0.45">
      <c r="A14" s="8"/>
      <c r="B14" s="8" t="s">
        <v>62</v>
      </c>
      <c r="C14" s="8" t="s">
        <v>63</v>
      </c>
      <c r="D14" s="8" t="s">
        <v>64</v>
      </c>
      <c r="E14" s="8" t="s">
        <v>65</v>
      </c>
      <c r="G14" s="2"/>
      <c r="H14" s="2" t="s">
        <v>57</v>
      </c>
      <c r="I14" s="2" t="s">
        <v>58</v>
      </c>
      <c r="J14" s="2" t="s">
        <v>59</v>
      </c>
      <c r="K14" s="2" t="s">
        <v>60</v>
      </c>
      <c r="N14">
        <f xml:space="preserve"> B15*N11*(G8*B8 + G9*B9 + G10*B10 + G11*B11)</f>
        <v>195.72</v>
      </c>
      <c r="O14">
        <f xml:space="preserve"> C15*O11*(G8*C8 + G9*C9 + G10*C10 + G11*C11)</f>
        <v>196.34999999999997</v>
      </c>
      <c r="P14">
        <f xml:space="preserve"> D15*P11*(G8*D8 + G9*D9 + G10*D10 + G11*D11)</f>
        <v>96.360000000000028</v>
      </c>
      <c r="Q14">
        <f xml:space="preserve"> E15*Q11*(G8*E8 + G9*E9 + G10*E10 + G11*E11)</f>
        <v>71.610000000000014</v>
      </c>
      <c r="S14">
        <f>SUM(N14:Q14)</f>
        <v>560.04</v>
      </c>
    </row>
    <row r="15" spans="1:19" x14ac:dyDescent="0.45">
      <c r="A15" s="8" t="s">
        <v>32</v>
      </c>
      <c r="B15" s="5">
        <v>6</v>
      </c>
      <c r="C15" s="5">
        <v>5</v>
      </c>
      <c r="D15" s="5">
        <v>4</v>
      </c>
      <c r="E15" s="5">
        <v>3</v>
      </c>
      <c r="G15" s="2" t="s">
        <v>39</v>
      </c>
      <c r="H15">
        <v>0</v>
      </c>
      <c r="I15">
        <v>1.0000000000000002</v>
      </c>
      <c r="J15">
        <v>0</v>
      </c>
      <c r="K15">
        <v>0</v>
      </c>
      <c r="L15">
        <f>SUM(H15:K15)</f>
        <v>1.0000000000000002</v>
      </c>
      <c r="N15" s="2" t="s">
        <v>53</v>
      </c>
      <c r="O15" s="2" t="s">
        <v>54</v>
      </c>
      <c r="P15" s="2" t="s">
        <v>55</v>
      </c>
      <c r="Q15" s="2" t="s">
        <v>56</v>
      </c>
      <c r="R15" s="2"/>
      <c r="S15" s="2" t="s">
        <v>79</v>
      </c>
    </row>
    <row r="16" spans="1:19" ht="14.25" customHeight="1" x14ac:dyDescent="0.45">
      <c r="G16" s="11" t="s">
        <v>38</v>
      </c>
      <c r="H16" s="11"/>
      <c r="I16" s="11"/>
      <c r="J16" s="11"/>
      <c r="K16" s="11"/>
      <c r="N16">
        <f>H13*H15*H21</f>
        <v>0</v>
      </c>
      <c r="O16">
        <f>I13*I15*H21</f>
        <v>100.00000000000003</v>
      </c>
      <c r="P16">
        <f>J13*J15*H21</f>
        <v>0</v>
      </c>
      <c r="Q16">
        <f>K13*K15*H21</f>
        <v>0</v>
      </c>
      <c r="S16">
        <f>SUM(N16:Q16)</f>
        <v>100.00000000000003</v>
      </c>
    </row>
    <row r="17" spans="1:19" x14ac:dyDescent="0.45">
      <c r="G17" s="11"/>
      <c r="H17" s="11"/>
      <c r="I17" s="11"/>
      <c r="J17" s="11"/>
      <c r="K17" s="11"/>
      <c r="S17" s="2" t="s">
        <v>80</v>
      </c>
    </row>
    <row r="18" spans="1:19" x14ac:dyDescent="0.45">
      <c r="A18" s="3" t="s">
        <v>81</v>
      </c>
      <c r="B18" s="3"/>
      <c r="C18" s="3"/>
      <c r="D18" s="3"/>
      <c r="E18" s="3"/>
      <c r="F18" s="3"/>
      <c r="G18" s="11"/>
      <c r="H18" s="11"/>
      <c r="I18" s="11"/>
      <c r="J18" s="11"/>
      <c r="K18" s="11"/>
      <c r="S18">
        <f>S14-S16</f>
        <v>460.03999999999996</v>
      </c>
    </row>
    <row r="19" spans="1:19" x14ac:dyDescent="0.45">
      <c r="A19" s="3" t="s">
        <v>82</v>
      </c>
      <c r="B19" s="3"/>
      <c r="C19" s="3"/>
      <c r="D19" s="3"/>
      <c r="E19" s="3"/>
      <c r="F19" s="3"/>
      <c r="G19" s="11"/>
      <c r="H19" s="11"/>
      <c r="I19" s="11"/>
      <c r="J19" s="11"/>
      <c r="K19" s="11"/>
    </row>
    <row r="20" spans="1:19" x14ac:dyDescent="0.45">
      <c r="A20" s="3" t="s">
        <v>83</v>
      </c>
      <c r="B20" s="3"/>
      <c r="C20" s="3"/>
      <c r="D20" s="3"/>
      <c r="E20" s="3"/>
      <c r="F20" s="3"/>
    </row>
    <row r="21" spans="1:19" x14ac:dyDescent="0.45">
      <c r="A21" s="3" t="s">
        <v>84</v>
      </c>
      <c r="B21" s="3"/>
      <c r="C21" s="3"/>
      <c r="D21" s="3"/>
      <c r="E21" s="3"/>
      <c r="F21" s="3"/>
      <c r="G21" s="2" t="s">
        <v>40</v>
      </c>
      <c r="H21">
        <v>100</v>
      </c>
    </row>
    <row r="22" spans="1:19" x14ac:dyDescent="0.45">
      <c r="A22" s="3"/>
      <c r="B22" s="3"/>
      <c r="C22" s="3"/>
      <c r="D22" s="3"/>
      <c r="E22" s="3"/>
      <c r="F22" s="3"/>
    </row>
    <row r="23" spans="1:19" x14ac:dyDescent="0.45">
      <c r="A23" s="3" t="s">
        <v>42</v>
      </c>
      <c r="B23" s="3"/>
      <c r="C23" s="3"/>
      <c r="D23" s="3"/>
      <c r="E23" s="3"/>
      <c r="F23" s="3"/>
    </row>
    <row r="24" spans="1:19" x14ac:dyDescent="0.45">
      <c r="A24" s="3" t="s">
        <v>45</v>
      </c>
      <c r="B24" s="3"/>
      <c r="C24" s="3"/>
      <c r="D24" s="3"/>
      <c r="E24" s="3"/>
      <c r="F24" s="3"/>
    </row>
    <row r="25" spans="1:19" x14ac:dyDescent="0.45">
      <c r="A25" s="3" t="s">
        <v>44</v>
      </c>
      <c r="B25" s="3"/>
      <c r="C25" s="3"/>
      <c r="D25" s="3"/>
      <c r="E25" s="3"/>
      <c r="F25" s="3"/>
    </row>
    <row r="26" spans="1:19" x14ac:dyDescent="0.45">
      <c r="A26" s="3" t="s">
        <v>43</v>
      </c>
      <c r="B26" s="3"/>
      <c r="C26" s="3"/>
      <c r="D26" s="3"/>
      <c r="E26" s="3"/>
      <c r="F26" s="3"/>
    </row>
    <row r="27" spans="1:19" x14ac:dyDescent="0.45">
      <c r="A27" s="3"/>
      <c r="B27" s="3"/>
      <c r="C27" s="3"/>
      <c r="D27" s="3"/>
      <c r="E27" s="3"/>
      <c r="F27" s="3"/>
    </row>
    <row r="28" spans="1:19" x14ac:dyDescent="0.45">
      <c r="A28" s="3" t="s">
        <v>41</v>
      </c>
      <c r="B28" s="3"/>
      <c r="C28" s="3"/>
      <c r="D28" s="3"/>
      <c r="E28" s="3"/>
      <c r="F28" s="3"/>
    </row>
    <row r="29" spans="1:19" x14ac:dyDescent="0.45">
      <c r="A29" s="3"/>
      <c r="B29" s="3"/>
      <c r="C29" s="3"/>
      <c r="D29" s="3"/>
      <c r="E29" s="3"/>
      <c r="F29" s="3"/>
    </row>
    <row r="30" spans="1:19" x14ac:dyDescent="0.45">
      <c r="A30" s="5" t="s">
        <v>47</v>
      </c>
      <c r="B30" s="3"/>
      <c r="C30" s="3"/>
      <c r="D30" s="3"/>
      <c r="E30" s="3"/>
      <c r="F30" s="3"/>
    </row>
    <row r="31" spans="1:19" x14ac:dyDescent="0.45">
      <c r="A31" s="5" t="s">
        <v>48</v>
      </c>
      <c r="B31" s="3"/>
      <c r="C31" s="3"/>
      <c r="D31" s="3"/>
      <c r="E31" s="3"/>
      <c r="F31" s="3"/>
      <c r="R31">
        <f>MAX($S$18)</f>
        <v>460.03999999999996</v>
      </c>
    </row>
    <row r="32" spans="1:19" x14ac:dyDescent="0.45">
      <c r="A32" s="5" t="s">
        <v>49</v>
      </c>
      <c r="B32" s="3"/>
      <c r="C32" s="3"/>
      <c r="D32" s="3"/>
      <c r="E32" s="3"/>
      <c r="F32" s="3"/>
      <c r="R32">
        <f>COUNT($H$15:$K$15)</f>
        <v>4</v>
      </c>
    </row>
    <row r="33" spans="1:18" x14ac:dyDescent="0.45">
      <c r="A33" s="5" t="s">
        <v>50</v>
      </c>
      <c r="B33" s="3"/>
      <c r="C33" s="3"/>
      <c r="D33" s="3"/>
      <c r="E33" s="3"/>
      <c r="F33" s="3"/>
      <c r="G33" s="4" t="s">
        <v>61</v>
      </c>
      <c r="R33" t="b">
        <f>e_1&gt;=0</f>
        <v>1</v>
      </c>
    </row>
    <row r="34" spans="1:18" x14ac:dyDescent="0.45">
      <c r="A34" s="5"/>
      <c r="B34" s="3"/>
      <c r="C34" s="3"/>
      <c r="D34" s="3"/>
      <c r="E34" s="3"/>
      <c r="F34" s="3"/>
      <c r="R34" t="b">
        <f>e_2&gt;=0</f>
        <v>1</v>
      </c>
    </row>
    <row r="35" spans="1:18" x14ac:dyDescent="0.45">
      <c r="A35" s="5" t="s">
        <v>51</v>
      </c>
      <c r="B35" s="3"/>
      <c r="C35" s="3"/>
      <c r="D35" s="3"/>
      <c r="E35" s="3"/>
      <c r="F35" s="3"/>
      <c r="R35" t="b">
        <f>e_3&gt;=0</f>
        <v>1</v>
      </c>
    </row>
    <row r="36" spans="1:18" x14ac:dyDescent="0.45">
      <c r="A36" s="5"/>
      <c r="B36" s="3"/>
      <c r="C36" s="3"/>
      <c r="D36" s="3"/>
      <c r="E36" s="3"/>
      <c r="F36" s="3"/>
      <c r="R36" t="b">
        <f>e_4&gt;=0</f>
        <v>1</v>
      </c>
    </row>
    <row r="37" spans="1:18" x14ac:dyDescent="0.45">
      <c r="A37" s="5" t="s">
        <v>52</v>
      </c>
      <c r="B37" s="3"/>
      <c r="C37" s="3"/>
      <c r="D37" s="3"/>
      <c r="E37" s="3"/>
      <c r="F37" s="3"/>
      <c r="R37">
        <f>{32767,32767,0.000001,0.01,FALSE,FALSE,TRUE,1,1,1,0.0001,TRUE}</f>
        <v>32767</v>
      </c>
    </row>
    <row r="38" spans="1:18" x14ac:dyDescent="0.45">
      <c r="R38">
        <f>{0,0,1,100,0,FALSE,TRUE,0.075,0,0,FALSE,30}</f>
        <v>0</v>
      </c>
    </row>
  </sheetData>
  <mergeCells count="7">
    <mergeCell ref="G16:K19"/>
    <mergeCell ref="A1:S4"/>
    <mergeCell ref="A5:E5"/>
    <mergeCell ref="H5:K5"/>
    <mergeCell ref="B6:E6"/>
    <mergeCell ref="H6:K6"/>
    <mergeCell ref="A1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94B6-7DF1-4739-BE89-2DBA56E2B713}">
  <dimension ref="A1:S37"/>
  <sheetViews>
    <sheetView tabSelected="1" workbookViewId="0">
      <selection activeCell="S18" sqref="S18"/>
    </sheetView>
  </sheetViews>
  <sheetFormatPr defaultRowHeight="14.25" x14ac:dyDescent="0.45"/>
  <cols>
    <col min="18" max="18" width="3.53125" customWidth="1"/>
  </cols>
  <sheetData>
    <row r="1" spans="1:19" x14ac:dyDescent="0.45">
      <c r="A1" s="12" t="s">
        <v>91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4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4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45">
      <c r="A5" s="14" t="s">
        <v>85</v>
      </c>
      <c r="B5" s="14"/>
      <c r="C5" s="14"/>
      <c r="D5" s="14"/>
      <c r="E5" s="14"/>
      <c r="F5" s="6"/>
      <c r="G5" s="7" t="s">
        <v>90</v>
      </c>
      <c r="H5" s="17" t="s">
        <v>89</v>
      </c>
      <c r="I5" s="17"/>
      <c r="J5" s="17"/>
      <c r="K5" s="17"/>
      <c r="L5" s="6"/>
      <c r="M5" s="6"/>
      <c r="N5" s="6"/>
      <c r="O5" s="6"/>
      <c r="P5" s="6"/>
      <c r="Q5" s="6"/>
      <c r="R5" s="6"/>
      <c r="S5" s="6"/>
    </row>
    <row r="6" spans="1:19" x14ac:dyDescent="0.45">
      <c r="A6" s="10" t="s">
        <v>86</v>
      </c>
      <c r="B6" s="15" t="s">
        <v>87</v>
      </c>
      <c r="C6" s="15"/>
      <c r="D6" s="15"/>
      <c r="E6" s="15"/>
      <c r="G6" s="8" t="s">
        <v>33</v>
      </c>
      <c r="H6" s="16" t="s">
        <v>88</v>
      </c>
      <c r="I6" s="16"/>
      <c r="J6" s="16"/>
      <c r="K6" s="16"/>
    </row>
    <row r="7" spans="1:19" s="2" customFormat="1" x14ac:dyDescent="0.45">
      <c r="A7" s="10"/>
      <c r="B7" s="10" t="s">
        <v>24</v>
      </c>
      <c r="C7" s="10" t="s">
        <v>25</v>
      </c>
      <c r="D7" s="10" t="s">
        <v>26</v>
      </c>
      <c r="E7" s="10" t="s">
        <v>27</v>
      </c>
      <c r="G7" s="8"/>
      <c r="H7" s="2" t="s">
        <v>34</v>
      </c>
      <c r="I7" s="2" t="s">
        <v>35</v>
      </c>
      <c r="J7" s="2" t="s">
        <v>36</v>
      </c>
      <c r="K7" s="2" t="s">
        <v>37</v>
      </c>
      <c r="N7" s="2" t="s">
        <v>66</v>
      </c>
      <c r="O7" s="2" t="s">
        <v>67</v>
      </c>
      <c r="P7" s="2" t="s">
        <v>68</v>
      </c>
      <c r="Q7" s="2" t="s">
        <v>69</v>
      </c>
    </row>
    <row r="8" spans="1:19" x14ac:dyDescent="0.45">
      <c r="A8" s="10" t="s">
        <v>28</v>
      </c>
      <c r="B8" s="3">
        <v>0.1</v>
      </c>
      <c r="C8" s="3">
        <v>0.1</v>
      </c>
      <c r="D8" s="3">
        <v>0.1</v>
      </c>
      <c r="E8" s="3">
        <v>0.7</v>
      </c>
      <c r="G8" s="5">
        <v>1</v>
      </c>
      <c r="H8">
        <v>0.1</v>
      </c>
      <c r="I8">
        <v>0.1</v>
      </c>
      <c r="J8">
        <v>0.1</v>
      </c>
      <c r="K8">
        <f>1-SUM(K9:K11)</f>
        <v>0.7</v>
      </c>
      <c r="N8">
        <f xml:space="preserve"> H21*(H8*H15+ I8*I15 +J8*J15 +K8*K15)</f>
        <v>10.000000000000004</v>
      </c>
      <c r="O8">
        <f>H21*(H9*H15 +I9*I15 + J9*J15 +K9*K15)</f>
        <v>10.000000000000004</v>
      </c>
      <c r="P8">
        <f xml:space="preserve"> totE*(H10*H15 + I10*I15 + J10*J15 +K10*K15)</f>
        <v>70</v>
      </c>
      <c r="Q8">
        <f xml:space="preserve"> totE*(H11*H15 + I11*I15 + J11*J15+K11*K15)</f>
        <v>10.000000000000004</v>
      </c>
    </row>
    <row r="9" spans="1:19" x14ac:dyDescent="0.45">
      <c r="A9" s="10" t="s">
        <v>29</v>
      </c>
      <c r="B9" s="3">
        <v>0.1</v>
      </c>
      <c r="C9" s="3">
        <v>0.1</v>
      </c>
      <c r="D9" s="3">
        <v>0.7</v>
      </c>
      <c r="E9" s="3">
        <v>0.1</v>
      </c>
      <c r="G9" s="5">
        <v>1.1000000000000001</v>
      </c>
      <c r="H9">
        <v>0.1</v>
      </c>
      <c r="I9">
        <v>0.1</v>
      </c>
      <c r="J9">
        <f>1-SUM(J10:J11,J8)</f>
        <v>0.7</v>
      </c>
      <c r="K9">
        <v>0.1</v>
      </c>
    </row>
    <row r="10" spans="1:19" x14ac:dyDescent="0.45">
      <c r="A10" s="10" t="s">
        <v>30</v>
      </c>
      <c r="B10" s="3">
        <v>0.1</v>
      </c>
      <c r="C10" s="3">
        <v>0.7</v>
      </c>
      <c r="D10" s="3">
        <v>0.1</v>
      </c>
      <c r="E10" s="3">
        <v>0.1</v>
      </c>
      <c r="G10" s="5">
        <v>1.1499999999999999</v>
      </c>
      <c r="H10">
        <v>0.1</v>
      </c>
      <c r="I10">
        <f>1-SUM(I8:I9,I11)</f>
        <v>0.7</v>
      </c>
      <c r="J10">
        <v>0.1</v>
      </c>
      <c r="K10">
        <v>0.1</v>
      </c>
      <c r="N10" s="2" t="s">
        <v>70</v>
      </c>
      <c r="O10" s="2" t="s">
        <v>71</v>
      </c>
      <c r="P10" s="2" t="s">
        <v>72</v>
      </c>
      <c r="Q10" s="2" t="s">
        <v>73</v>
      </c>
    </row>
    <row r="11" spans="1:19" x14ac:dyDescent="0.45">
      <c r="A11" s="10" t="s">
        <v>31</v>
      </c>
      <c r="B11" s="3">
        <f>1-SUM(B8:B10)</f>
        <v>0.7</v>
      </c>
      <c r="C11" s="3">
        <f t="shared" ref="C11:E11" si="0">1-SUM(C8:C10)</f>
        <v>0.10000000000000009</v>
      </c>
      <c r="D11" s="3">
        <f t="shared" si="0"/>
        <v>0.10000000000000009</v>
      </c>
      <c r="E11" s="3">
        <f t="shared" si="0"/>
        <v>0.10000000000000009</v>
      </c>
      <c r="G11" s="5">
        <v>1.25</v>
      </c>
      <c r="H11">
        <f>1-SUM(H8:H10)</f>
        <v>0.7</v>
      </c>
      <c r="I11">
        <v>0.1</v>
      </c>
      <c r="J11">
        <v>0.1</v>
      </c>
      <c r="K11">
        <v>0.1</v>
      </c>
      <c r="N11">
        <f xml:space="preserve"> N8*B8 + O8*B9 + P8*B10 + Q8*B11</f>
        <v>16</v>
      </c>
      <c r="O11">
        <f xml:space="preserve"> N8*C8+ O8*C9 + P8*C10 + Q8*C11</f>
        <v>52</v>
      </c>
      <c r="P11">
        <f xml:space="preserve"> N8*D8 + O8*D9 + P8*D10 + Q8*D11</f>
        <v>16.000000000000004</v>
      </c>
      <c r="Q11">
        <f xml:space="preserve"> N8*E8 + O8*E9 + P8*E10 + Q8*E11</f>
        <v>16.000000000000004</v>
      </c>
    </row>
    <row r="12" spans="1:19" x14ac:dyDescent="0.45">
      <c r="A12" s="2"/>
      <c r="G12" s="4"/>
      <c r="H12" s="9" t="s">
        <v>53</v>
      </c>
      <c r="I12" s="9" t="s">
        <v>54</v>
      </c>
      <c r="J12" s="9" t="s">
        <v>55</v>
      </c>
      <c r="K12" s="9" t="s">
        <v>56</v>
      </c>
    </row>
    <row r="13" spans="1:19" x14ac:dyDescent="0.45">
      <c r="A13" s="18" t="s">
        <v>90</v>
      </c>
      <c r="B13" s="18"/>
      <c r="C13" s="18"/>
      <c r="D13" s="18"/>
      <c r="E13" s="18"/>
      <c r="G13" s="9" t="s">
        <v>46</v>
      </c>
      <c r="H13" s="4">
        <v>4</v>
      </c>
      <c r="I13" s="4">
        <v>1</v>
      </c>
      <c r="J13" s="4">
        <v>2</v>
      </c>
      <c r="K13" s="4">
        <v>3</v>
      </c>
      <c r="N13" s="2" t="s">
        <v>74</v>
      </c>
      <c r="O13" s="2" t="s">
        <v>75</v>
      </c>
      <c r="P13" s="2" t="s">
        <v>76</v>
      </c>
      <c r="Q13" s="2" t="s">
        <v>77</v>
      </c>
      <c r="R13" s="2"/>
      <c r="S13" s="2" t="s">
        <v>78</v>
      </c>
    </row>
    <row r="14" spans="1:19" x14ac:dyDescent="0.45">
      <c r="A14" s="8"/>
      <c r="B14" s="8" t="s">
        <v>62</v>
      </c>
      <c r="C14" s="8" t="s">
        <v>63</v>
      </c>
      <c r="D14" s="8" t="s">
        <v>64</v>
      </c>
      <c r="E14" s="8" t="s">
        <v>65</v>
      </c>
      <c r="G14" s="2"/>
      <c r="H14" s="2" t="s">
        <v>57</v>
      </c>
      <c r="I14" s="2" t="s">
        <v>58</v>
      </c>
      <c r="J14" s="2" t="s">
        <v>59</v>
      </c>
      <c r="K14" s="2" t="s">
        <v>60</v>
      </c>
      <c r="N14">
        <f xml:space="preserve"> B15*N11*(G8*B8 + G9*B9 + G10*B10 + G11*B11)</f>
        <v>115.19999999999999</v>
      </c>
      <c r="O14">
        <f xml:space="preserve"> C15*O11*(G8*C8 + G9*C9 + G10*C10 + G11*C11)</f>
        <v>296.40000000000003</v>
      </c>
      <c r="P14">
        <f xml:space="preserve"> D15*P11*(G8*D8 + G9*D9 + G10*D10 + G11*D11)</f>
        <v>71.04000000000002</v>
      </c>
      <c r="Q14">
        <f xml:space="preserve"> E15*Q11*(G8*E8 + G9*E9 + G10*E10 + G11*E11)</f>
        <v>50.40000000000002</v>
      </c>
      <c r="S14">
        <f>SUM(N14:Q14)</f>
        <v>533.04000000000008</v>
      </c>
    </row>
    <row r="15" spans="1:19" x14ac:dyDescent="0.45">
      <c r="A15" s="8" t="s">
        <v>32</v>
      </c>
      <c r="B15" s="5">
        <v>6</v>
      </c>
      <c r="C15" s="5">
        <v>5</v>
      </c>
      <c r="D15" s="5">
        <v>4</v>
      </c>
      <c r="E15" s="5">
        <v>3</v>
      </c>
      <c r="G15" s="2" t="s">
        <v>39</v>
      </c>
      <c r="H15">
        <v>0</v>
      </c>
      <c r="I15">
        <v>1.0000000000000002</v>
      </c>
      <c r="J15">
        <v>0</v>
      </c>
      <c r="K15">
        <v>0</v>
      </c>
      <c r="L15">
        <f>SUM(H15:K15)</f>
        <v>1.0000000000000002</v>
      </c>
      <c r="N15" s="2" t="s">
        <v>53</v>
      </c>
      <c r="O15" s="2" t="s">
        <v>54</v>
      </c>
      <c r="P15" s="2" t="s">
        <v>55</v>
      </c>
      <c r="Q15" s="2" t="s">
        <v>56</v>
      </c>
      <c r="R15" s="2"/>
      <c r="S15" s="2" t="s">
        <v>79</v>
      </c>
    </row>
    <row r="16" spans="1:19" ht="14.25" customHeight="1" x14ac:dyDescent="0.45">
      <c r="G16" s="11" t="s">
        <v>38</v>
      </c>
      <c r="H16" s="11"/>
      <c r="I16" s="11"/>
      <c r="J16" s="11"/>
      <c r="K16" s="11"/>
      <c r="N16">
        <f>H13*H15*H21</f>
        <v>0</v>
      </c>
      <c r="O16">
        <f>I13*I15*H21</f>
        <v>100.00000000000003</v>
      </c>
      <c r="P16">
        <f>J13*J15*H21</f>
        <v>0</v>
      </c>
      <c r="Q16">
        <f>K13*K15*H21</f>
        <v>0</v>
      </c>
      <c r="S16">
        <f>SUM(N16:Q16)</f>
        <v>100.00000000000003</v>
      </c>
    </row>
    <row r="17" spans="1:19" x14ac:dyDescent="0.45">
      <c r="G17" s="11"/>
      <c r="H17" s="11"/>
      <c r="I17" s="11"/>
      <c r="J17" s="11"/>
      <c r="K17" s="11"/>
      <c r="S17" s="2" t="s">
        <v>80</v>
      </c>
    </row>
    <row r="18" spans="1:19" x14ac:dyDescent="0.45">
      <c r="A18" s="3" t="s">
        <v>81</v>
      </c>
      <c r="B18" s="3"/>
      <c r="C18" s="3"/>
      <c r="D18" s="3"/>
      <c r="E18" s="3"/>
      <c r="F18" s="3"/>
      <c r="G18" s="11"/>
      <c r="H18" s="11"/>
      <c r="I18" s="11"/>
      <c r="J18" s="11"/>
      <c r="K18" s="11"/>
      <c r="S18">
        <f>S14-S16</f>
        <v>433.04000000000008</v>
      </c>
    </row>
    <row r="19" spans="1:19" x14ac:dyDescent="0.45">
      <c r="A19" s="3" t="s">
        <v>82</v>
      </c>
      <c r="B19" s="3"/>
      <c r="C19" s="3"/>
      <c r="D19" s="3"/>
      <c r="E19" s="3"/>
      <c r="F19" s="3"/>
      <c r="G19" s="11"/>
      <c r="H19" s="11"/>
      <c r="I19" s="11"/>
      <c r="J19" s="11"/>
      <c r="K19" s="11"/>
    </row>
    <row r="20" spans="1:19" x14ac:dyDescent="0.45">
      <c r="A20" s="3" t="s">
        <v>83</v>
      </c>
      <c r="B20" s="3"/>
      <c r="C20" s="3"/>
      <c r="D20" s="3"/>
      <c r="E20" s="3"/>
      <c r="F20" s="3"/>
    </row>
    <row r="21" spans="1:19" x14ac:dyDescent="0.45">
      <c r="A21" s="3" t="s">
        <v>84</v>
      </c>
      <c r="B21" s="3"/>
      <c r="C21" s="3"/>
      <c r="D21" s="3"/>
      <c r="E21" s="3"/>
      <c r="F21" s="3"/>
      <c r="G21" s="2" t="s">
        <v>40</v>
      </c>
      <c r="H21">
        <v>100</v>
      </c>
    </row>
    <row r="22" spans="1:19" x14ac:dyDescent="0.45">
      <c r="A22" s="3"/>
      <c r="B22" s="3"/>
      <c r="C22" s="3"/>
      <c r="D22" s="3"/>
      <c r="E22" s="3"/>
      <c r="F22" s="3"/>
    </row>
    <row r="23" spans="1:19" x14ac:dyDescent="0.45">
      <c r="A23" s="3" t="s">
        <v>42</v>
      </c>
      <c r="B23" s="3"/>
      <c r="C23" s="3"/>
      <c r="D23" s="3"/>
      <c r="E23" s="3"/>
      <c r="F23" s="3"/>
    </row>
    <row r="24" spans="1:19" x14ac:dyDescent="0.45">
      <c r="A24" s="3" t="s">
        <v>45</v>
      </c>
      <c r="B24" s="3"/>
      <c r="C24" s="3"/>
      <c r="D24" s="3"/>
      <c r="E24" s="3"/>
      <c r="F24" s="3"/>
    </row>
    <row r="25" spans="1:19" x14ac:dyDescent="0.45">
      <c r="A25" s="3" t="s">
        <v>44</v>
      </c>
      <c r="B25" s="3"/>
      <c r="C25" s="3"/>
      <c r="D25" s="3"/>
      <c r="E25" s="3"/>
      <c r="F25" s="3"/>
    </row>
    <row r="26" spans="1:19" x14ac:dyDescent="0.45">
      <c r="A26" s="3" t="s">
        <v>43</v>
      </c>
      <c r="B26" s="3"/>
      <c r="C26" s="3"/>
      <c r="D26" s="3"/>
      <c r="E26" s="3"/>
      <c r="F26" s="3"/>
    </row>
    <row r="27" spans="1:19" x14ac:dyDescent="0.45">
      <c r="A27" s="3"/>
      <c r="B27" s="3"/>
      <c r="C27" s="3"/>
      <c r="D27" s="3"/>
      <c r="E27" s="3"/>
      <c r="F27" s="3"/>
    </row>
    <row r="28" spans="1:19" x14ac:dyDescent="0.45">
      <c r="A28" s="3" t="s">
        <v>41</v>
      </c>
      <c r="B28" s="3"/>
      <c r="C28" s="3"/>
      <c r="D28" s="3"/>
      <c r="E28" s="3"/>
      <c r="F28" s="3"/>
    </row>
    <row r="29" spans="1:19" x14ac:dyDescent="0.45">
      <c r="A29" s="3"/>
      <c r="B29" s="3"/>
      <c r="C29" s="3"/>
      <c r="D29" s="3"/>
      <c r="E29" s="3"/>
      <c r="F29" s="3"/>
    </row>
    <row r="30" spans="1:19" x14ac:dyDescent="0.45">
      <c r="A30" s="5" t="s">
        <v>47</v>
      </c>
      <c r="B30" s="3"/>
      <c r="C30" s="3"/>
      <c r="D30" s="3"/>
      <c r="E30" s="3"/>
      <c r="F30" s="3"/>
    </row>
    <row r="31" spans="1:19" x14ac:dyDescent="0.45">
      <c r="A31" s="5" t="s">
        <v>48</v>
      </c>
      <c r="B31" s="3"/>
      <c r="C31" s="3"/>
      <c r="D31" s="3"/>
      <c r="E31" s="3"/>
      <c r="F31" s="3"/>
    </row>
    <row r="32" spans="1:19" x14ac:dyDescent="0.45">
      <c r="A32" s="5" t="s">
        <v>49</v>
      </c>
      <c r="B32" s="3"/>
      <c r="C32" s="3"/>
      <c r="D32" s="3"/>
      <c r="E32" s="3"/>
      <c r="F32" s="3"/>
    </row>
    <row r="33" spans="1:7" x14ac:dyDescent="0.45">
      <c r="A33" s="5" t="s">
        <v>50</v>
      </c>
      <c r="B33" s="3"/>
      <c r="C33" s="3"/>
      <c r="D33" s="3"/>
      <c r="E33" s="3"/>
      <c r="F33" s="3"/>
      <c r="G33" s="4" t="s">
        <v>61</v>
      </c>
    </row>
    <row r="34" spans="1:7" x14ac:dyDescent="0.45">
      <c r="A34" s="5"/>
      <c r="B34" s="3"/>
      <c r="C34" s="3"/>
      <c r="D34" s="3"/>
      <c r="E34" s="3"/>
      <c r="F34" s="3"/>
    </row>
    <row r="35" spans="1:7" x14ac:dyDescent="0.45">
      <c r="A35" s="5" t="s">
        <v>51</v>
      </c>
      <c r="B35" s="3"/>
      <c r="C35" s="3"/>
      <c r="D35" s="3"/>
      <c r="E35" s="3"/>
      <c r="F35" s="3"/>
    </row>
    <row r="36" spans="1:7" x14ac:dyDescent="0.45">
      <c r="A36" s="5"/>
      <c r="B36" s="3"/>
      <c r="C36" s="3"/>
      <c r="D36" s="3"/>
      <c r="E36" s="3"/>
      <c r="F36" s="3"/>
    </row>
    <row r="37" spans="1:7" x14ac:dyDescent="0.45">
      <c r="A37" s="5" t="s">
        <v>52</v>
      </c>
      <c r="B37" s="3"/>
      <c r="C37" s="3"/>
      <c r="D37" s="3"/>
      <c r="E37" s="3"/>
      <c r="F37" s="3"/>
    </row>
  </sheetData>
  <mergeCells count="7">
    <mergeCell ref="G16:K19"/>
    <mergeCell ref="A1:S4"/>
    <mergeCell ref="A5:E5"/>
    <mergeCell ref="H5:K5"/>
    <mergeCell ref="B6:E6"/>
    <mergeCell ref="H6:K6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67</vt:i4>
      </vt:variant>
    </vt:vector>
  </HeadingPairs>
  <TitlesOfParts>
    <vt:vector size="71" baseType="lpstr">
      <vt:lpstr>ignore</vt:lpstr>
      <vt:lpstr>all_size_dist_25</vt:lpstr>
      <vt:lpstr>size dist_by_.1</vt:lpstr>
      <vt:lpstr>size_dist_.1_.7</vt:lpstr>
      <vt:lpstr>c_1</vt:lpstr>
      <vt:lpstr>c_2</vt:lpstr>
      <vt:lpstr>c_3</vt:lpstr>
      <vt:lpstr>c_4</vt:lpstr>
      <vt:lpstr>ctot</vt:lpstr>
      <vt:lpstr>e_1</vt:lpstr>
      <vt:lpstr>e_2</vt:lpstr>
      <vt:lpstr>all_size_dist_25!e_3</vt:lpstr>
      <vt:lpstr>e_3</vt:lpstr>
      <vt:lpstr>e_4</vt:lpstr>
      <vt:lpstr>all_size_dist_25!e2_</vt:lpstr>
      <vt:lpstr>all_size_dist_25!e4_</vt:lpstr>
      <vt:lpstr>all_size_dist_25!effort_distribution</vt:lpstr>
      <vt:lpstr>Hsp_1</vt:lpstr>
      <vt:lpstr>Hsp_2</vt:lpstr>
      <vt:lpstr>Hsp_3</vt:lpstr>
      <vt:lpstr>Hsp_4</vt:lpstr>
      <vt:lpstr>Hsz_1</vt:lpstr>
      <vt:lpstr>Hsz_2</vt:lpstr>
      <vt:lpstr>Hsz_3</vt:lpstr>
      <vt:lpstr>Hsz_4</vt:lpstr>
      <vt:lpstr>m_1</vt:lpstr>
      <vt:lpstr>m_2</vt:lpstr>
      <vt:lpstr>m_3</vt:lpstr>
      <vt:lpstr>m_4</vt:lpstr>
      <vt:lpstr>p_1</vt:lpstr>
      <vt:lpstr>p_2</vt:lpstr>
      <vt:lpstr>p_3</vt:lpstr>
      <vt:lpstr>p_4</vt:lpstr>
      <vt:lpstr>pft</vt:lpstr>
      <vt:lpstr>profit</vt:lpstr>
      <vt:lpstr>rtot</vt:lpstr>
      <vt:lpstr>sp_11</vt:lpstr>
      <vt:lpstr>sp_12</vt:lpstr>
      <vt:lpstr>sp_13</vt:lpstr>
      <vt:lpstr>sp_14</vt:lpstr>
      <vt:lpstr>sp_21</vt:lpstr>
      <vt:lpstr>sp_22</vt:lpstr>
      <vt:lpstr>sp_23</vt:lpstr>
      <vt:lpstr>sp_24</vt:lpstr>
      <vt:lpstr>sp_31</vt:lpstr>
      <vt:lpstr>sp_32</vt:lpstr>
      <vt:lpstr>sp_33</vt:lpstr>
      <vt:lpstr>sp_34</vt:lpstr>
      <vt:lpstr>sp_41</vt:lpstr>
      <vt:lpstr>sp_42</vt:lpstr>
      <vt:lpstr>sp_43</vt:lpstr>
      <vt:lpstr>sp_44</vt:lpstr>
      <vt:lpstr>tech11</vt:lpstr>
      <vt:lpstr>tech12</vt:lpstr>
      <vt:lpstr>tech13</vt:lpstr>
      <vt:lpstr>tech14</vt:lpstr>
      <vt:lpstr>tech21</vt:lpstr>
      <vt:lpstr>tech22</vt:lpstr>
      <vt:lpstr>tech23</vt:lpstr>
      <vt:lpstr>tech24</vt:lpstr>
      <vt:lpstr>tech31</vt:lpstr>
      <vt:lpstr>tech32</vt:lpstr>
      <vt:lpstr>tech33</vt:lpstr>
      <vt:lpstr>tech34</vt:lpstr>
      <vt:lpstr>tech41</vt:lpstr>
      <vt:lpstr>tech42</vt:lpstr>
      <vt:lpstr>tech43</vt:lpstr>
      <vt:lpstr>tech44</vt:lpstr>
      <vt:lpstr>tot_cost</vt:lpstr>
      <vt:lpstr>tot_rev</vt:lpstr>
      <vt:lpstr>totE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leigh</dc:creator>
  <cp:lastModifiedBy>katharine leigh</cp:lastModifiedBy>
  <dcterms:created xsi:type="dcterms:W3CDTF">2020-11-05T06:09:19Z</dcterms:created>
  <dcterms:modified xsi:type="dcterms:W3CDTF">2020-11-11T05:41:14Z</dcterms:modified>
</cp:coreProperties>
</file>