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88D251AA-A770-4C85-B3E1-63C1CAB3701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öltségvetés" sheetId="2" r:id="rId1"/>
    <sheet name="Bérköltség" sheetId="11" r:id="rId2"/>
    <sheet name="Dologi_felhalm." sheetId="13" r:id="rId3"/>
    <sheet name="Hónapok" sheetId="16" r:id="rId4"/>
    <sheet name="Témaszámok" sheetId="17" r:id="rId5"/>
    <sheet name="Admin" sheetId="22" r:id="rId6"/>
    <sheet name="Információk" sheetId="23" r:id="rId7"/>
    <sheet name="Havi béradatok" sheetId="24" r:id="rId8"/>
  </sheets>
  <definedNames>
    <definedName name="_xlnm._FilterDatabase" localSheetId="1" hidden="1">Bérköltség!$A$5:$X$175</definedName>
    <definedName name="_xlnm._FilterDatabase" localSheetId="2" hidden="1">Dologi_felhalm.!$A$7:$N$20</definedName>
    <definedName name="_xlnm._FilterDatabase" localSheetId="0" hidden="1">Költségvetés!$A$3:$I$21</definedName>
    <definedName name="Z_B3053EE5_F487_4331_B4B6_28A1F2EF1617_.wvu.Cols" localSheetId="1" hidden="1">Bérköltség!#REF!,Bérköltség!#REF!,Bérköltség!$N:$O,Bérköltség!$S:$S,Bérköltség!#REF!</definedName>
    <definedName name="Z_B3053EE5_F487_4331_B4B6_28A1F2EF1617_.wvu.FilterData" localSheetId="1" hidden="1">Bérköltség!$A$5:$X$175</definedName>
    <definedName name="Z_B3053EE5_F487_4331_B4B6_28A1F2EF1617_.wvu.FilterData" localSheetId="2" hidden="1">Dologi_felhalm.!$A$7:$L$7</definedName>
    <definedName name="Z_B3053EE5_F487_4331_B4B6_28A1F2EF1617_.wvu.FilterData" localSheetId="0" hidden="1">Költségvetés!#REF!</definedName>
    <definedName name="Z_B3053EE5_F487_4331_B4B6_28A1F2EF1617_.wvu.Rows" localSheetId="1" hidden="1">Bérköltség!#REF!</definedName>
    <definedName name="Z_B3053EE5_F487_4331_B4B6_28A1F2EF1617_.wvu.Rows" localSheetId="2" hidden="1">Dologi_felhalm.!$1:$5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0" i="11" l="1"/>
  <c r="N150" i="11" s="1"/>
  <c r="P150" i="11" s="1"/>
  <c r="J150" i="11"/>
  <c r="M149" i="11"/>
  <c r="N149" i="11" s="1"/>
  <c r="J149" i="11"/>
  <c r="G150" i="11"/>
  <c r="G149" i="11"/>
  <c r="M148" i="11"/>
  <c r="N148" i="11" s="1"/>
  <c r="J148" i="11"/>
  <c r="G148" i="11"/>
  <c r="X146" i="11"/>
  <c r="W146" i="11"/>
  <c r="X135" i="11"/>
  <c r="W135" i="11"/>
  <c r="X107" i="11"/>
  <c r="W107" i="11"/>
  <c r="X100" i="11"/>
  <c r="W100" i="11"/>
  <c r="X91" i="11"/>
  <c r="W91" i="11"/>
  <c r="X86" i="11"/>
  <c r="W86" i="11"/>
  <c r="X77" i="11"/>
  <c r="W77" i="11"/>
  <c r="X72" i="11"/>
  <c r="W72" i="11"/>
  <c r="X62" i="11"/>
  <c r="W62" i="11"/>
  <c r="X52" i="11"/>
  <c r="W52" i="11"/>
  <c r="X45" i="11"/>
  <c r="W45" i="11"/>
  <c r="X35" i="11"/>
  <c r="W35" i="11"/>
  <c r="X30" i="11"/>
  <c r="W30" i="11"/>
  <c r="X24" i="11"/>
  <c r="W24" i="11"/>
  <c r="X15" i="11"/>
  <c r="W15" i="11"/>
  <c r="Y8" i="11"/>
  <c r="X8" i="11"/>
  <c r="W8" i="11"/>
  <c r="M125" i="11"/>
  <c r="N125" i="11" s="1"/>
  <c r="J125" i="11"/>
  <c r="G125" i="11"/>
  <c r="M124" i="11"/>
  <c r="N124" i="11" s="1"/>
  <c r="J124" i="11"/>
  <c r="G124" i="11"/>
  <c r="M123" i="11"/>
  <c r="N123" i="11" s="1"/>
  <c r="J123" i="11"/>
  <c r="G123" i="11"/>
  <c r="M122" i="11"/>
  <c r="N122" i="11" s="1"/>
  <c r="J122" i="11"/>
  <c r="G122" i="11"/>
  <c r="M121" i="11"/>
  <c r="N121" i="11" s="1"/>
  <c r="J121" i="11"/>
  <c r="G121" i="11"/>
  <c r="M120" i="11"/>
  <c r="N120" i="11" s="1"/>
  <c r="J120" i="11"/>
  <c r="G120" i="11"/>
  <c r="M119" i="11"/>
  <c r="N119" i="11" s="1"/>
  <c r="J119" i="11"/>
  <c r="G119" i="11"/>
  <c r="M118" i="11"/>
  <c r="N118" i="11" s="1"/>
  <c r="J118" i="11"/>
  <c r="G118" i="11"/>
  <c r="M133" i="11"/>
  <c r="N133" i="11" s="1"/>
  <c r="J133" i="11"/>
  <c r="G133" i="11"/>
  <c r="M132" i="11"/>
  <c r="N132" i="11" s="1"/>
  <c r="J132" i="11"/>
  <c r="G132" i="11"/>
  <c r="M131" i="11"/>
  <c r="N131" i="11" s="1"/>
  <c r="J131" i="11"/>
  <c r="G131" i="11"/>
  <c r="M130" i="11"/>
  <c r="N130" i="11" s="1"/>
  <c r="J130" i="11"/>
  <c r="G130" i="11"/>
  <c r="M129" i="11"/>
  <c r="N129" i="11" s="1"/>
  <c r="J129" i="11"/>
  <c r="G129" i="11"/>
  <c r="M128" i="11"/>
  <c r="N128" i="11" s="1"/>
  <c r="J128" i="11"/>
  <c r="G128" i="11"/>
  <c r="M127" i="11"/>
  <c r="N127" i="11" s="1"/>
  <c r="J127" i="11"/>
  <c r="G127" i="11"/>
  <c r="M126" i="11"/>
  <c r="N126" i="11" s="1"/>
  <c r="O126" i="11" s="1"/>
  <c r="J126" i="11"/>
  <c r="G126" i="11"/>
  <c r="X145" i="11"/>
  <c r="W145" i="11"/>
  <c r="X134" i="11"/>
  <c r="W134" i="11"/>
  <c r="X106" i="11"/>
  <c r="W106" i="11"/>
  <c r="X76" i="11"/>
  <c r="W76" i="11"/>
  <c r="X71" i="11"/>
  <c r="W71" i="11"/>
  <c r="X51" i="11"/>
  <c r="W51" i="11"/>
  <c r="X44" i="11"/>
  <c r="W44" i="11"/>
  <c r="X34" i="11"/>
  <c r="W34" i="11"/>
  <c r="X29" i="11"/>
  <c r="W29" i="11"/>
  <c r="M117" i="11"/>
  <c r="N117" i="11" s="1"/>
  <c r="J117" i="11"/>
  <c r="G117" i="11"/>
  <c r="M116" i="11"/>
  <c r="N116" i="11" s="1"/>
  <c r="J116" i="11"/>
  <c r="G116" i="11"/>
  <c r="M115" i="11"/>
  <c r="N115" i="11" s="1"/>
  <c r="J115" i="11"/>
  <c r="G115" i="11"/>
  <c r="M114" i="11"/>
  <c r="N114" i="11" s="1"/>
  <c r="J114" i="11"/>
  <c r="G114" i="11"/>
  <c r="M113" i="11"/>
  <c r="N113" i="11" s="1"/>
  <c r="J113" i="11"/>
  <c r="G113" i="11"/>
  <c r="M112" i="11"/>
  <c r="N112" i="11" s="1"/>
  <c r="J112" i="11"/>
  <c r="G112" i="11"/>
  <c r="M111" i="11"/>
  <c r="N111" i="11" s="1"/>
  <c r="J111" i="11"/>
  <c r="G111" i="11"/>
  <c r="M110" i="11"/>
  <c r="N110" i="11" s="1"/>
  <c r="O110" i="11" s="1"/>
  <c r="J110" i="11"/>
  <c r="G110" i="11"/>
  <c r="M105" i="11"/>
  <c r="N105" i="11" s="1"/>
  <c r="J105" i="11"/>
  <c r="G105" i="11"/>
  <c r="M104" i="11"/>
  <c r="N104" i="11" s="1"/>
  <c r="J104" i="11"/>
  <c r="G104" i="11"/>
  <c r="M103" i="11"/>
  <c r="N103" i="11" s="1"/>
  <c r="J103" i="11"/>
  <c r="G103" i="11"/>
  <c r="M102" i="11"/>
  <c r="N102" i="11" s="1"/>
  <c r="J102" i="11"/>
  <c r="G102" i="11"/>
  <c r="M101" i="11"/>
  <c r="N101" i="11" s="1"/>
  <c r="J101" i="11"/>
  <c r="G101" i="11"/>
  <c r="M100" i="11"/>
  <c r="N100" i="11" s="1"/>
  <c r="J100" i="11"/>
  <c r="Y100" i="11" s="1"/>
  <c r="G100" i="11"/>
  <c r="M75" i="11"/>
  <c r="N75" i="11" s="1"/>
  <c r="J75" i="11"/>
  <c r="M74" i="11"/>
  <c r="N74" i="11" s="1"/>
  <c r="P74" i="11" s="1"/>
  <c r="J74" i="11"/>
  <c r="M73" i="11"/>
  <c r="N73" i="11" s="1"/>
  <c r="J73" i="11"/>
  <c r="W2" i="11"/>
  <c r="Y2" i="11"/>
  <c r="X2" i="11"/>
  <c r="P149" i="11" l="1"/>
  <c r="O149" i="11"/>
  <c r="O150" i="11"/>
  <c r="P148" i="11"/>
  <c r="O148" i="11"/>
  <c r="P122" i="11"/>
  <c r="O122" i="11"/>
  <c r="P119" i="11"/>
  <c r="O119" i="11"/>
  <c r="P124" i="11"/>
  <c r="O124" i="11"/>
  <c r="P123" i="11"/>
  <c r="O123" i="11"/>
  <c r="P118" i="11"/>
  <c r="O118" i="11"/>
  <c r="P120" i="11"/>
  <c r="O120" i="11"/>
  <c r="P121" i="11"/>
  <c r="O121" i="11"/>
  <c r="P125" i="11"/>
  <c r="O125" i="11"/>
  <c r="P129" i="11"/>
  <c r="O129" i="11"/>
  <c r="P130" i="11"/>
  <c r="O130" i="11"/>
  <c r="P127" i="11"/>
  <c r="O127" i="11"/>
  <c r="P131" i="11"/>
  <c r="O131" i="11"/>
  <c r="P128" i="11"/>
  <c r="O128" i="11"/>
  <c r="P132" i="11"/>
  <c r="O132" i="11"/>
  <c r="P133" i="11"/>
  <c r="O133" i="11"/>
  <c r="P126" i="11"/>
  <c r="P111" i="11"/>
  <c r="O111" i="11"/>
  <c r="P112" i="11"/>
  <c r="O112" i="11"/>
  <c r="P113" i="11"/>
  <c r="O113" i="11"/>
  <c r="P115" i="11"/>
  <c r="O115" i="11"/>
  <c r="P117" i="11"/>
  <c r="O117" i="11"/>
  <c r="P116" i="11"/>
  <c r="O116" i="11"/>
  <c r="P114" i="11"/>
  <c r="O114" i="11"/>
  <c r="P110" i="11"/>
  <c r="P104" i="11"/>
  <c r="O104" i="11"/>
  <c r="P105" i="11"/>
  <c r="O105" i="11"/>
  <c r="P102" i="11"/>
  <c r="O102" i="11"/>
  <c r="O101" i="11"/>
  <c r="P101" i="11"/>
  <c r="P103" i="11"/>
  <c r="O103" i="11"/>
  <c r="P100" i="11"/>
  <c r="O100" i="11"/>
  <c r="O75" i="11"/>
  <c r="P75" i="11"/>
  <c r="O73" i="11"/>
  <c r="P73" i="11"/>
  <c r="O74" i="11"/>
  <c r="M89" i="11"/>
  <c r="N89" i="11" s="1"/>
  <c r="J89" i="11"/>
  <c r="M88" i="11"/>
  <c r="N88" i="11" s="1"/>
  <c r="P88" i="11" s="1"/>
  <c r="J88" i="11"/>
  <c r="M87" i="11"/>
  <c r="N87" i="11" s="1"/>
  <c r="J87" i="11"/>
  <c r="G89" i="11"/>
  <c r="G88" i="11"/>
  <c r="G87" i="11"/>
  <c r="M86" i="11"/>
  <c r="N86" i="11" s="1"/>
  <c r="J86" i="11"/>
  <c r="Y86" i="11" s="1"/>
  <c r="G86" i="11"/>
  <c r="M27" i="11"/>
  <c r="N27" i="11" s="1"/>
  <c r="P27" i="11" s="1"/>
  <c r="J27" i="11"/>
  <c r="G27" i="11"/>
  <c r="M26" i="11"/>
  <c r="N26" i="11" s="1"/>
  <c r="J26" i="11"/>
  <c r="G26" i="11"/>
  <c r="M25" i="11"/>
  <c r="N25" i="11" s="1"/>
  <c r="P25" i="11" s="1"/>
  <c r="J25" i="11"/>
  <c r="G25" i="11"/>
  <c r="M24" i="11"/>
  <c r="N24" i="11" s="1"/>
  <c r="P24" i="11" s="1"/>
  <c r="J24" i="11"/>
  <c r="Y24" i="11" s="1"/>
  <c r="G24" i="11"/>
  <c r="M109" i="11"/>
  <c r="N109" i="11" s="1"/>
  <c r="P109" i="11" s="1"/>
  <c r="J109" i="11"/>
  <c r="G109" i="11"/>
  <c r="M108" i="11"/>
  <c r="N108" i="11" s="1"/>
  <c r="P108" i="11" s="1"/>
  <c r="J108" i="11"/>
  <c r="G108" i="11"/>
  <c r="M107" i="11"/>
  <c r="N107" i="11" s="1"/>
  <c r="P107" i="11" s="1"/>
  <c r="J107" i="11"/>
  <c r="Y107" i="11" s="1"/>
  <c r="G107" i="11"/>
  <c r="M106" i="11"/>
  <c r="N106" i="11" s="1"/>
  <c r="J106" i="11"/>
  <c r="Y106" i="11" s="1"/>
  <c r="G106" i="11"/>
  <c r="M72" i="11"/>
  <c r="N72" i="11" s="1"/>
  <c r="J72" i="11"/>
  <c r="Y72" i="11" s="1"/>
  <c r="G75" i="11"/>
  <c r="G74" i="11"/>
  <c r="G73" i="11"/>
  <c r="G72" i="11"/>
  <c r="M71" i="11"/>
  <c r="N71" i="11" s="1"/>
  <c r="P71" i="11" s="1"/>
  <c r="J71" i="11"/>
  <c r="Y71" i="11" s="1"/>
  <c r="G71" i="11"/>
  <c r="P143" i="11"/>
  <c r="O143" i="11"/>
  <c r="M143" i="11"/>
  <c r="J143" i="11"/>
  <c r="P142" i="11"/>
  <c r="O142" i="11"/>
  <c r="M142" i="11"/>
  <c r="J142" i="11"/>
  <c r="P141" i="11"/>
  <c r="O141" i="11"/>
  <c r="M141" i="11"/>
  <c r="J141" i="11"/>
  <c r="P140" i="11"/>
  <c r="O140" i="11"/>
  <c r="M140" i="11"/>
  <c r="J140" i="11"/>
  <c r="P139" i="11"/>
  <c r="O139" i="11"/>
  <c r="M139" i="11"/>
  <c r="J139" i="11"/>
  <c r="P138" i="11"/>
  <c r="O138" i="11"/>
  <c r="M138" i="11"/>
  <c r="J138" i="11"/>
  <c r="P137" i="11"/>
  <c r="O137" i="11"/>
  <c r="M137" i="11"/>
  <c r="J137" i="11"/>
  <c r="P136" i="11"/>
  <c r="O136" i="11"/>
  <c r="M136" i="11"/>
  <c r="J136" i="11"/>
  <c r="P135" i="11"/>
  <c r="O135" i="11"/>
  <c r="M135" i="11"/>
  <c r="J135" i="11"/>
  <c r="Y135" i="11" s="1"/>
  <c r="G143" i="11"/>
  <c r="G142" i="11"/>
  <c r="G141" i="11"/>
  <c r="G140" i="11"/>
  <c r="G139" i="11"/>
  <c r="G138" i="11"/>
  <c r="G137" i="11"/>
  <c r="G136" i="11"/>
  <c r="G135" i="11"/>
  <c r="M134" i="11"/>
  <c r="J134" i="11"/>
  <c r="Y134" i="11" s="1"/>
  <c r="G134" i="11"/>
  <c r="M60" i="11"/>
  <c r="N60" i="11" s="1"/>
  <c r="J60" i="11"/>
  <c r="M59" i="11"/>
  <c r="N59" i="11" s="1"/>
  <c r="J59" i="11"/>
  <c r="M58" i="11"/>
  <c r="N58" i="11" s="1"/>
  <c r="J58" i="11"/>
  <c r="M57" i="11"/>
  <c r="N57" i="11" s="1"/>
  <c r="J57" i="11"/>
  <c r="M56" i="11"/>
  <c r="N56" i="11" s="1"/>
  <c r="J56" i="11"/>
  <c r="M55" i="11"/>
  <c r="N55" i="11" s="1"/>
  <c r="P55" i="11" s="1"/>
  <c r="J55" i="11"/>
  <c r="M54" i="11"/>
  <c r="N54" i="11" s="1"/>
  <c r="J54" i="11"/>
  <c r="M53" i="11"/>
  <c r="N53" i="11" s="1"/>
  <c r="J53" i="11"/>
  <c r="M52" i="11"/>
  <c r="N52" i="11" s="1"/>
  <c r="J52" i="11"/>
  <c r="Y52" i="11" s="1"/>
  <c r="G60" i="11"/>
  <c r="G59" i="11"/>
  <c r="G58" i="11"/>
  <c r="G57" i="11"/>
  <c r="G56" i="11"/>
  <c r="G55" i="11"/>
  <c r="G54" i="11"/>
  <c r="G53" i="11"/>
  <c r="G52" i="11"/>
  <c r="M51" i="11"/>
  <c r="N51" i="11" s="1"/>
  <c r="J51" i="11"/>
  <c r="Y51" i="11" s="1"/>
  <c r="G51" i="11"/>
  <c r="M13" i="11"/>
  <c r="N13" i="11" s="1"/>
  <c r="P13" i="11" s="1"/>
  <c r="J13" i="11"/>
  <c r="M12" i="11"/>
  <c r="N12" i="11" s="1"/>
  <c r="J12" i="11"/>
  <c r="M11" i="11"/>
  <c r="N11" i="11" s="1"/>
  <c r="J11" i="11"/>
  <c r="M10" i="11"/>
  <c r="N10" i="11" s="1"/>
  <c r="J10" i="11"/>
  <c r="M9" i="11"/>
  <c r="N9" i="11" s="1"/>
  <c r="J9" i="11"/>
  <c r="M8" i="11"/>
  <c r="N8" i="11" s="1"/>
  <c r="G13" i="11"/>
  <c r="G12" i="11"/>
  <c r="G11" i="11"/>
  <c r="G10" i="11"/>
  <c r="G9" i="11"/>
  <c r="G8" i="11"/>
  <c r="M7" i="11"/>
  <c r="N7" i="11" s="1"/>
  <c r="J7" i="11"/>
  <c r="G7" i="11"/>
  <c r="M70" i="11"/>
  <c r="N70" i="11" s="1"/>
  <c r="J70" i="11"/>
  <c r="M69" i="11"/>
  <c r="N69" i="11" s="1"/>
  <c r="J69" i="11"/>
  <c r="M68" i="11"/>
  <c r="N68" i="11" s="1"/>
  <c r="J68" i="11"/>
  <c r="M67" i="11"/>
  <c r="N67" i="11" s="1"/>
  <c r="J67" i="11"/>
  <c r="M66" i="11"/>
  <c r="N66" i="11" s="1"/>
  <c r="J66" i="11"/>
  <c r="M65" i="11"/>
  <c r="N65" i="11" s="1"/>
  <c r="P65" i="11" s="1"/>
  <c r="J65" i="11"/>
  <c r="M64" i="11"/>
  <c r="N64" i="11" s="1"/>
  <c r="J64" i="11"/>
  <c r="M63" i="11"/>
  <c r="N63" i="11" s="1"/>
  <c r="J63" i="11"/>
  <c r="M62" i="11"/>
  <c r="N62" i="11" s="1"/>
  <c r="J62" i="11"/>
  <c r="Y62" i="11" s="1"/>
  <c r="G70" i="11"/>
  <c r="G69" i="11"/>
  <c r="G68" i="11"/>
  <c r="G67" i="11"/>
  <c r="G66" i="11"/>
  <c r="G65" i="11"/>
  <c r="G64" i="11"/>
  <c r="G63" i="11"/>
  <c r="G62" i="11"/>
  <c r="M61" i="11"/>
  <c r="N61" i="11" s="1"/>
  <c r="P61" i="11" s="1"/>
  <c r="J61" i="11"/>
  <c r="G61" i="11"/>
  <c r="M99" i="11"/>
  <c r="N99" i="11" s="1"/>
  <c r="P99" i="11" s="1"/>
  <c r="J99" i="11"/>
  <c r="M98" i="11"/>
  <c r="N98" i="11" s="1"/>
  <c r="J98" i="11"/>
  <c r="M97" i="11"/>
  <c r="N97" i="11" s="1"/>
  <c r="J97" i="11"/>
  <c r="M96" i="11"/>
  <c r="N96" i="11" s="1"/>
  <c r="J96" i="11"/>
  <c r="M95" i="11"/>
  <c r="N95" i="11" s="1"/>
  <c r="J95" i="11"/>
  <c r="M94" i="11"/>
  <c r="N94" i="11" s="1"/>
  <c r="J94" i="11"/>
  <c r="M93" i="11"/>
  <c r="N93" i="11" s="1"/>
  <c r="P93" i="11" s="1"/>
  <c r="J93" i="11"/>
  <c r="M92" i="11"/>
  <c r="N92" i="11" s="1"/>
  <c r="J92" i="11"/>
  <c r="M91" i="11"/>
  <c r="N91" i="11" s="1"/>
  <c r="J91" i="11"/>
  <c r="Y91" i="11" s="1"/>
  <c r="G99" i="11"/>
  <c r="G98" i="11"/>
  <c r="G97" i="11"/>
  <c r="G96" i="11"/>
  <c r="G95" i="11"/>
  <c r="G94" i="11"/>
  <c r="G93" i="11"/>
  <c r="G92" i="11"/>
  <c r="G91" i="11"/>
  <c r="M90" i="11"/>
  <c r="N90" i="11" s="1"/>
  <c r="J90" i="11"/>
  <c r="G90" i="11"/>
  <c r="M50" i="11"/>
  <c r="N50" i="11" s="1"/>
  <c r="J50" i="11"/>
  <c r="M49" i="11"/>
  <c r="N49" i="11" s="1"/>
  <c r="J49" i="11"/>
  <c r="M48" i="11"/>
  <c r="N48" i="11" s="1"/>
  <c r="J48" i="11"/>
  <c r="M47" i="11"/>
  <c r="N47" i="11" s="1"/>
  <c r="J47" i="11"/>
  <c r="M46" i="11"/>
  <c r="N46" i="11" s="1"/>
  <c r="J46" i="11"/>
  <c r="M45" i="11"/>
  <c r="N45" i="11" s="1"/>
  <c r="J45" i="11"/>
  <c r="Y45" i="11" s="1"/>
  <c r="G50" i="11"/>
  <c r="G49" i="11"/>
  <c r="G48" i="11"/>
  <c r="G47" i="11"/>
  <c r="G46" i="11"/>
  <c r="G45" i="11"/>
  <c r="M44" i="11"/>
  <c r="N44" i="11" s="1"/>
  <c r="J44" i="11"/>
  <c r="Y44" i="11" s="1"/>
  <c r="G44" i="11"/>
  <c r="M43" i="11"/>
  <c r="N43" i="11" s="1"/>
  <c r="J43" i="11"/>
  <c r="G43" i="11"/>
  <c r="M42" i="11"/>
  <c r="N42" i="11" s="1"/>
  <c r="J42" i="11"/>
  <c r="G42" i="11"/>
  <c r="M41" i="11"/>
  <c r="N41" i="11" s="1"/>
  <c r="O41" i="11" s="1"/>
  <c r="J41" i="11"/>
  <c r="G41" i="11"/>
  <c r="M40" i="11"/>
  <c r="N40" i="11" s="1"/>
  <c r="O40" i="11" s="1"/>
  <c r="J40" i="11"/>
  <c r="G40" i="11"/>
  <c r="M39" i="11"/>
  <c r="N39" i="11" s="1"/>
  <c r="O39" i="11" s="1"/>
  <c r="J39" i="11"/>
  <c r="G39" i="11"/>
  <c r="M38" i="11"/>
  <c r="N38" i="11" s="1"/>
  <c r="O38" i="11" s="1"/>
  <c r="J38" i="11"/>
  <c r="G38" i="11"/>
  <c r="M37" i="11"/>
  <c r="N37" i="11" s="1"/>
  <c r="O37" i="11" s="1"/>
  <c r="J37" i="11"/>
  <c r="G37" i="11"/>
  <c r="M36" i="11"/>
  <c r="N36" i="11" s="1"/>
  <c r="O36" i="11" s="1"/>
  <c r="J36" i="11"/>
  <c r="G36" i="11"/>
  <c r="M35" i="11"/>
  <c r="N35" i="11" s="1"/>
  <c r="O35" i="11" s="1"/>
  <c r="J35" i="11"/>
  <c r="Y35" i="11" s="1"/>
  <c r="G35" i="11"/>
  <c r="M34" i="11"/>
  <c r="N34" i="11" s="1"/>
  <c r="O34" i="11" s="1"/>
  <c r="J34" i="11"/>
  <c r="Y34" i="11" s="1"/>
  <c r="G34" i="11"/>
  <c r="M6" i="2"/>
  <c r="P87" i="11" l="1"/>
  <c r="O87" i="11"/>
  <c r="O86" i="11"/>
  <c r="P86" i="11"/>
  <c r="P89" i="11"/>
  <c r="O89" i="11"/>
  <c r="O88" i="11"/>
  <c r="O27" i="11"/>
  <c r="P26" i="11"/>
  <c r="O26" i="11"/>
  <c r="O25" i="11"/>
  <c r="O24" i="11"/>
  <c r="O108" i="11"/>
  <c r="O107" i="11"/>
  <c r="O109" i="11"/>
  <c r="P106" i="11"/>
  <c r="O106" i="11"/>
  <c r="P72" i="11"/>
  <c r="O72" i="11"/>
  <c r="O71" i="11"/>
  <c r="O53" i="11"/>
  <c r="P53" i="11"/>
  <c r="P134" i="11"/>
  <c r="O134" i="11"/>
  <c r="P58" i="11"/>
  <c r="O58" i="11"/>
  <c r="P59" i="11"/>
  <c r="O59" i="11"/>
  <c r="P60" i="11"/>
  <c r="O60" i="11"/>
  <c r="P54" i="11"/>
  <c r="O54" i="11"/>
  <c r="P56" i="11"/>
  <c r="O56" i="11"/>
  <c r="P52" i="11"/>
  <c r="O52" i="11"/>
  <c r="P57" i="11"/>
  <c r="O57" i="11"/>
  <c r="O55" i="11"/>
  <c r="P51" i="11"/>
  <c r="O51" i="11"/>
  <c r="P12" i="11"/>
  <c r="O12" i="11"/>
  <c r="P11" i="11"/>
  <c r="O11" i="11"/>
  <c r="P9" i="11"/>
  <c r="O9" i="11"/>
  <c r="P10" i="11"/>
  <c r="O10" i="11"/>
  <c r="O13" i="11"/>
  <c r="P8" i="11"/>
  <c r="O7" i="11"/>
  <c r="P7" i="11"/>
  <c r="O63" i="11"/>
  <c r="P63" i="11"/>
  <c r="P70" i="11"/>
  <c r="O70" i="11"/>
  <c r="P68" i="11"/>
  <c r="O68" i="11"/>
  <c r="P64" i="11"/>
  <c r="O64" i="11"/>
  <c r="P66" i="11"/>
  <c r="O66" i="11"/>
  <c r="P69" i="11"/>
  <c r="O69" i="11"/>
  <c r="P67" i="11"/>
  <c r="O67" i="11"/>
  <c r="P62" i="11"/>
  <c r="O62" i="11"/>
  <c r="O65" i="11"/>
  <c r="O61" i="11"/>
  <c r="P95" i="11"/>
  <c r="O95" i="11"/>
  <c r="P96" i="11"/>
  <c r="O96" i="11"/>
  <c r="P91" i="11"/>
  <c r="O91" i="11"/>
  <c r="O97" i="11"/>
  <c r="P97" i="11"/>
  <c r="P94" i="11"/>
  <c r="O94" i="11"/>
  <c r="P98" i="11"/>
  <c r="O98" i="11"/>
  <c r="O92" i="11"/>
  <c r="P92" i="11"/>
  <c r="O93" i="11"/>
  <c r="O99" i="11"/>
  <c r="P90" i="11"/>
  <c r="O90" i="11"/>
  <c r="P47" i="11"/>
  <c r="O47" i="11"/>
  <c r="O46" i="11"/>
  <c r="P46" i="11"/>
  <c r="P48" i="11"/>
  <c r="O48" i="11"/>
  <c r="P45" i="11"/>
  <c r="O45" i="11"/>
  <c r="P49" i="11"/>
  <c r="O49" i="11"/>
  <c r="P50" i="11"/>
  <c r="O50" i="11"/>
  <c r="P44" i="11"/>
  <c r="O44" i="11"/>
  <c r="P40" i="11"/>
  <c r="P36" i="11"/>
  <c r="P38" i="11"/>
  <c r="P41" i="11"/>
  <c r="P37" i="11"/>
  <c r="O42" i="11"/>
  <c r="P42" i="11"/>
  <c r="P35" i="11"/>
  <c r="P39" i="11"/>
  <c r="P43" i="11"/>
  <c r="O43" i="11"/>
  <c r="P34" i="11"/>
  <c r="M147" i="11" l="1"/>
  <c r="N147" i="11" s="1"/>
  <c r="J147" i="11"/>
  <c r="M146" i="11"/>
  <c r="N146" i="11" s="1"/>
  <c r="J146" i="11"/>
  <c r="Y146" i="11" s="1"/>
  <c r="M145" i="11"/>
  <c r="N145" i="11" s="1"/>
  <c r="J145" i="11"/>
  <c r="Y145" i="11" s="1"/>
  <c r="G147" i="11"/>
  <c r="G146" i="11"/>
  <c r="G145" i="11"/>
  <c r="M144" i="11"/>
  <c r="N144" i="11" s="1"/>
  <c r="J144" i="11"/>
  <c r="G144" i="11"/>
  <c r="M85" i="11"/>
  <c r="N85" i="11" s="1"/>
  <c r="P85" i="11" s="1"/>
  <c r="J85" i="11"/>
  <c r="M84" i="11"/>
  <c r="N84" i="11" s="1"/>
  <c r="J84" i="11"/>
  <c r="M83" i="11"/>
  <c r="N83" i="11" s="1"/>
  <c r="J83" i="11"/>
  <c r="M82" i="11"/>
  <c r="N82" i="11" s="1"/>
  <c r="J82" i="11"/>
  <c r="M81" i="11"/>
  <c r="N81" i="11" s="1"/>
  <c r="J81" i="11"/>
  <c r="M80" i="11"/>
  <c r="N80" i="11" s="1"/>
  <c r="J80" i="11"/>
  <c r="M79" i="11"/>
  <c r="N79" i="11" s="1"/>
  <c r="P79" i="11" s="1"/>
  <c r="J79" i="11"/>
  <c r="M78" i="11"/>
  <c r="N78" i="11" s="1"/>
  <c r="J78" i="11"/>
  <c r="M77" i="11"/>
  <c r="N77" i="11" s="1"/>
  <c r="J77" i="11"/>
  <c r="Y77" i="11" s="1"/>
  <c r="G85" i="11"/>
  <c r="G84" i="11"/>
  <c r="G83" i="11"/>
  <c r="G82" i="11"/>
  <c r="G81" i="11"/>
  <c r="G80" i="11"/>
  <c r="G79" i="11"/>
  <c r="G78" i="11"/>
  <c r="G77" i="11"/>
  <c r="M76" i="11"/>
  <c r="N76" i="11" s="1"/>
  <c r="J76" i="11"/>
  <c r="Y76" i="11" s="1"/>
  <c r="G76" i="11"/>
  <c r="M33" i="11"/>
  <c r="J33" i="11"/>
  <c r="G33" i="11"/>
  <c r="M32" i="11"/>
  <c r="J32" i="11"/>
  <c r="G32" i="11"/>
  <c r="M31" i="11"/>
  <c r="P31" i="11" s="1"/>
  <c r="J31" i="11"/>
  <c r="G31" i="11"/>
  <c r="M30" i="11"/>
  <c r="P30" i="11" s="1"/>
  <c r="J30" i="11"/>
  <c r="Y30" i="11" s="1"/>
  <c r="G30" i="11"/>
  <c r="M29" i="11"/>
  <c r="O29" i="11" s="1"/>
  <c r="J29" i="11"/>
  <c r="Y29" i="11" s="1"/>
  <c r="G29" i="11"/>
  <c r="M28" i="11"/>
  <c r="J28" i="11"/>
  <c r="G28" i="11"/>
  <c r="M23" i="11"/>
  <c r="N23" i="11" s="1"/>
  <c r="P23" i="11" s="1"/>
  <c r="J23" i="11"/>
  <c r="G23" i="11"/>
  <c r="M22" i="11"/>
  <c r="N22" i="11" s="1"/>
  <c r="P22" i="11" s="1"/>
  <c r="J22" i="11"/>
  <c r="G22" i="11"/>
  <c r="M21" i="11"/>
  <c r="N21" i="11" s="1"/>
  <c r="P21" i="11" s="1"/>
  <c r="J21" i="11"/>
  <c r="G21" i="11"/>
  <c r="M20" i="11"/>
  <c r="N20" i="11" s="1"/>
  <c r="P20" i="11" s="1"/>
  <c r="J20" i="11"/>
  <c r="G20" i="11"/>
  <c r="M19" i="11"/>
  <c r="N19" i="11" s="1"/>
  <c r="J19" i="11"/>
  <c r="G19" i="11"/>
  <c r="M18" i="11"/>
  <c r="N18" i="11" s="1"/>
  <c r="P18" i="11" s="1"/>
  <c r="J18" i="11"/>
  <c r="G18" i="11"/>
  <c r="M17" i="11"/>
  <c r="N17" i="11" s="1"/>
  <c r="P17" i="11" s="1"/>
  <c r="J17" i="11"/>
  <c r="G17" i="11"/>
  <c r="M16" i="11"/>
  <c r="N16" i="11" s="1"/>
  <c r="P16" i="11" s="1"/>
  <c r="J16" i="11"/>
  <c r="G16" i="11"/>
  <c r="M15" i="11"/>
  <c r="N15" i="11" s="1"/>
  <c r="J15" i="11"/>
  <c r="Y15" i="11" s="1"/>
  <c r="G15" i="11"/>
  <c r="M6" i="11"/>
  <c r="J6" i="11"/>
  <c r="G6" i="11"/>
  <c r="M14" i="11"/>
  <c r="N14" i="11" s="1"/>
  <c r="J14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4" i="11"/>
  <c r="E14" i="2"/>
  <c r="D14" i="2"/>
  <c r="C14" i="2"/>
  <c r="B14" i="2"/>
  <c r="H18" i="2"/>
  <c r="G18" i="2"/>
  <c r="I18" i="2" s="1"/>
  <c r="H16" i="2"/>
  <c r="G16" i="2"/>
  <c r="H15" i="2"/>
  <c r="G15" i="2"/>
  <c r="H12" i="2"/>
  <c r="G12" i="2"/>
  <c r="I12" i="2" s="1"/>
  <c r="H10" i="2"/>
  <c r="G10" i="2"/>
  <c r="I10" i="2" s="1"/>
  <c r="F13" i="2"/>
  <c r="H11" i="2"/>
  <c r="H9" i="2"/>
  <c r="G11" i="2"/>
  <c r="I11" i="2" s="1"/>
  <c r="G9" i="2"/>
  <c r="H25" i="13"/>
  <c r="G25" i="13"/>
  <c r="I8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25" i="13"/>
  <c r="F18" i="2"/>
  <c r="F16" i="2"/>
  <c r="F15" i="2"/>
  <c r="F11" i="2"/>
  <c r="F9" i="2"/>
  <c r="F14" i="2" s="1"/>
  <c r="F7" i="2"/>
  <c r="F6" i="2"/>
  <c r="F5" i="2"/>
  <c r="F4" i="2"/>
  <c r="B8" i="2"/>
  <c r="E6" i="2"/>
  <c r="E8" i="2" s="1"/>
  <c r="D6" i="2"/>
  <c r="D8" i="2" s="1"/>
  <c r="C6" i="2"/>
  <c r="C8" i="2" s="1"/>
  <c r="B6" i="2"/>
  <c r="E17" i="2"/>
  <c r="D17" i="2"/>
  <c r="C17" i="2"/>
  <c r="B17" i="2"/>
  <c r="N4" i="2" l="1"/>
  <c r="O4" i="2" s="1"/>
  <c r="P144" i="11"/>
  <c r="P33" i="11"/>
  <c r="O33" i="11"/>
  <c r="O32" i="11"/>
  <c r="P32" i="11"/>
  <c r="P14" i="11"/>
  <c r="P4" i="2"/>
  <c r="P28" i="11"/>
  <c r="F8" i="2"/>
  <c r="I15" i="2"/>
  <c r="P29" i="11"/>
  <c r="O30" i="11"/>
  <c r="O31" i="11"/>
  <c r="P146" i="11"/>
  <c r="O146" i="11"/>
  <c r="P145" i="11"/>
  <c r="O145" i="11"/>
  <c r="P147" i="11"/>
  <c r="O147" i="11"/>
  <c r="O144" i="11"/>
  <c r="P81" i="11"/>
  <c r="O81" i="11"/>
  <c r="P80" i="11"/>
  <c r="O80" i="11"/>
  <c r="P82" i="11"/>
  <c r="O82" i="11"/>
  <c r="P77" i="11"/>
  <c r="O77" i="11"/>
  <c r="P83" i="11"/>
  <c r="O83" i="11"/>
  <c r="O78" i="11"/>
  <c r="P78" i="11"/>
  <c r="P84" i="11"/>
  <c r="O84" i="11"/>
  <c r="O85" i="11"/>
  <c r="O79" i="11"/>
  <c r="P76" i="11"/>
  <c r="O76" i="11"/>
  <c r="I16" i="2"/>
  <c r="O16" i="11"/>
  <c r="O14" i="11"/>
  <c r="P19" i="11"/>
  <c r="O19" i="11"/>
  <c r="P15" i="11"/>
  <c r="O15" i="11"/>
  <c r="O17" i="11"/>
  <c r="O18" i="11"/>
  <c r="O20" i="11"/>
  <c r="O21" i="11"/>
  <c r="O22" i="11"/>
  <c r="O23" i="11"/>
  <c r="H4" i="2"/>
  <c r="G5" i="2"/>
  <c r="G4" i="2"/>
  <c r="H5" i="2"/>
  <c r="I9" i="2"/>
  <c r="H13" i="2"/>
  <c r="H14" i="2" s="1"/>
  <c r="G13" i="2"/>
  <c r="I13" i="2" s="1"/>
  <c r="F17" i="2"/>
  <c r="I17" i="2" s="1"/>
  <c r="D20" i="2"/>
  <c r="B20" i="2"/>
  <c r="C20" i="2"/>
  <c r="E20" i="2"/>
  <c r="O168" i="11"/>
  <c r="O169" i="11"/>
  <c r="O167" i="11"/>
  <c r="P5" i="2" l="1"/>
  <c r="O28" i="11"/>
  <c r="Q4" i="2"/>
  <c r="H7" i="2"/>
  <c r="P6" i="11"/>
  <c r="I5" i="2"/>
  <c r="G14" i="2"/>
  <c r="I14" i="2" s="1"/>
  <c r="O164" i="11"/>
  <c r="O163" i="11"/>
  <c r="O166" i="11"/>
  <c r="O165" i="11"/>
  <c r="O160" i="11"/>
  <c r="G7" i="2" l="1"/>
  <c r="I7" i="2" s="1"/>
  <c r="N5" i="2"/>
  <c r="P6" i="2"/>
  <c r="O162" i="11"/>
  <c r="O161" i="11"/>
  <c r="O170" i="11"/>
  <c r="O5" i="2" l="1"/>
  <c r="N6" i="2"/>
  <c r="F20" i="2"/>
  <c r="N176" i="11"/>
  <c r="H6" i="2"/>
  <c r="G6" i="2"/>
  <c r="O6" i="2" l="1"/>
  <c r="Q5" i="2"/>
  <c r="Q6" i="2" s="1"/>
  <c r="I6" i="2"/>
  <c r="H8" i="2"/>
  <c r="G8" i="2"/>
  <c r="I4" i="2"/>
  <c r="O176" i="11"/>
  <c r="I28" i="13" s="1"/>
  <c r="I8" i="2" l="1"/>
  <c r="H20" i="2"/>
  <c r="G20" i="2"/>
  <c r="F28" i="13"/>
  <c r="I2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Domján Gábor</author>
  </authors>
  <commentList>
    <comment ref="X2" authorId="0" shapeId="0" xr:uid="{D480A57A-3BE3-499F-9286-972941DE7A4B}">
      <text>
        <r>
          <rPr>
            <b/>
            <sz val="9"/>
            <color indexed="81"/>
            <rFont val="Tahoma"/>
            <family val="2"/>
            <charset val="238"/>
          </rPr>
          <t>Ha mínusz 1-2 forint az eltérés, akkor én lecsökkentem a bruttó bért annyival. Ha plusz 1-2 forint, akkor marad az alaplevél szerinti bére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J8" authorId="0" shapeId="0" xr:uid="{F357F01C-A04E-4700-A6F8-C4405EBA0125}">
      <text>
        <r>
          <rPr>
            <b/>
            <sz val="9"/>
            <color indexed="81"/>
            <rFont val="Tahoma"/>
            <family val="2"/>
            <charset val="238"/>
          </rPr>
          <t>jár. Kedv.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I107" authorId="0" shapeId="0" xr:uid="{DDBC2A40-A9D5-413B-A0A2-8AC7733AF7B4}">
      <text>
        <r>
          <rPr>
            <b/>
            <sz val="9"/>
            <color indexed="81"/>
            <rFont val="Tahoma"/>
            <family val="2"/>
            <charset val="238"/>
          </rPr>
          <t>betegszabi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<sst xmlns="http://schemas.openxmlformats.org/spreadsheetml/2006/main" count="1539" uniqueCount="259">
  <si>
    <t>résztvevő</t>
  </si>
  <si>
    <t>bér arány</t>
  </si>
  <si>
    <t>ÖSSZESEN</t>
  </si>
  <si>
    <t>időszak</t>
  </si>
  <si>
    <t>Szállító</t>
  </si>
  <si>
    <t>Megnevezés</t>
  </si>
  <si>
    <t>Témaszám</t>
  </si>
  <si>
    <t xml:space="preserve">Szakmai megvalósításban </t>
  </si>
  <si>
    <t>Tény</t>
  </si>
  <si>
    <t>Köt. váll.</t>
  </si>
  <si>
    <t>Megjegyzés</t>
  </si>
  <si>
    <t>Tény/Köt. váll.</t>
  </si>
  <si>
    <t>Kifizetési kérelem</t>
  </si>
  <si>
    <t>Pénzügyi</t>
  </si>
  <si>
    <t>PM</t>
  </si>
  <si>
    <t>Bér</t>
  </si>
  <si>
    <t>bruttó járulék</t>
  </si>
  <si>
    <t>Kinevezés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</si>
  <si>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</si>
  <si>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</si>
  <si>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</si>
  <si>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</si>
  <si>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</si>
  <si>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</si>
  <si>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</si>
  <si>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</si>
  <si>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</si>
  <si>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</si>
  <si>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</si>
  <si>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arány</t>
  </si>
  <si>
    <t>dátuma</t>
  </si>
  <si>
    <t>közreműködő munkatársak (Név)</t>
  </si>
  <si>
    <t>(Hónap)</t>
  </si>
  <si>
    <t>központ (terhelés)</t>
  </si>
  <si>
    <t>Alaplevél</t>
  </si>
  <si>
    <t>szerződés</t>
  </si>
  <si>
    <t>központ (számfejtés)</t>
  </si>
  <si>
    <t>okmány</t>
  </si>
  <si>
    <t>Többlet/szerződés</t>
  </si>
  <si>
    <t>MEGBÍZÁSOK</t>
  </si>
  <si>
    <t>Megrendelés/ szerződés száma</t>
  </si>
  <si>
    <t>Maradvány</t>
  </si>
  <si>
    <t>Kötelezettség vállalás</t>
  </si>
  <si>
    <t>Kifizetett költségek</t>
  </si>
  <si>
    <t>MK</t>
  </si>
  <si>
    <t>Összesen</t>
  </si>
  <si>
    <t>szochó</t>
  </si>
  <si>
    <t xml:space="preserve">óra arány   </t>
  </si>
  <si>
    <t>különbözet</t>
  </si>
  <si>
    <t>M211120000</t>
  </si>
  <si>
    <t>Domján Gábor</t>
  </si>
  <si>
    <t>bér</t>
  </si>
  <si>
    <t>N011120000</t>
  </si>
  <si>
    <t>Keret</t>
  </si>
  <si>
    <t>Beruházások</t>
  </si>
  <si>
    <t>Anyagköltség</t>
  </si>
  <si>
    <t>Bérköltség</t>
  </si>
  <si>
    <t>Összes támogatás</t>
  </si>
  <si>
    <t>1. mérföldkő támogatás</t>
  </si>
  <si>
    <t>2. mérföldkő támogatás</t>
  </si>
  <si>
    <t>SZAKMAI KÖLTSÉGEK</t>
  </si>
  <si>
    <t>Költségsor</t>
  </si>
  <si>
    <t>Költség</t>
  </si>
  <si>
    <t>C241110000</t>
  </si>
  <si>
    <t>dolgozó</t>
  </si>
  <si>
    <t>beosztása</t>
  </si>
  <si>
    <t>elszámolva</t>
  </si>
  <si>
    <t>C241100000</t>
  </si>
  <si>
    <t>bruttó jár.</t>
  </si>
  <si>
    <t>össz</t>
  </si>
  <si>
    <t xml:space="preserve"> </t>
  </si>
  <si>
    <t>NP2022-II-6/2022 - 2022.12.01-2026.11.30</t>
  </si>
  <si>
    <t>3. mérföldkő támogatás</t>
  </si>
  <si>
    <t>4. mérföldkő támogatás</t>
  </si>
  <si>
    <t>Nem rendszeres juttatások</t>
  </si>
  <si>
    <t>Szolgáltatási szerződés</t>
  </si>
  <si>
    <t>Beruházási célú ÁFA</t>
  </si>
  <si>
    <t>Rezsiköltség</t>
  </si>
  <si>
    <t>SZEMÉLYI JUTTATATÁSOK</t>
  </si>
  <si>
    <t>DOLOGI KIADÁSOK</t>
  </si>
  <si>
    <t>BERUHÁZÁSOK</t>
  </si>
  <si>
    <t>SZEMÉLYI ÖSSZESEN</t>
  </si>
  <si>
    <t>ÖSSZESÍTETT KÖLTSÉGVETÉS</t>
  </si>
  <si>
    <t>C017100022</t>
  </si>
  <si>
    <t>M217100021</t>
  </si>
  <si>
    <t>2022.12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</si>
  <si>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</si>
  <si>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</si>
  <si>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</si>
  <si>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</si>
  <si>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</si>
  <si>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</si>
  <si>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</si>
  <si>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</si>
  <si>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</si>
  <si>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</si>
  <si>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</si>
  <si>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</si>
  <si>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</si>
  <si>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</si>
  <si>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</si>
  <si>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</si>
  <si>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</si>
  <si>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</si>
  <si>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</si>
  <si>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</si>
  <si>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</si>
  <si>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</si>
  <si>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</si>
  <si>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</si>
  <si>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2025.01</t>
  </si>
  <si>
    <t>2025.02</t>
  </si>
  <si>
    <t>2025.03</t>
  </si>
  <si>
    <t>2025.04</t>
  </si>
  <si>
    <t>2025.05</t>
  </si>
  <si>
    <t>2025.06</t>
  </si>
  <si>
    <t>2025.07</t>
  </si>
  <si>
    <t>2025.08</t>
  </si>
  <si>
    <t>2025.09</t>
  </si>
  <si>
    <t>2025.10</t>
  </si>
  <si>
    <t>2025.11</t>
  </si>
  <si>
    <t>2025.12</t>
  </si>
  <si>
    <t>2026.01</t>
  </si>
  <si>
    <t>2026.02</t>
  </si>
  <si>
    <t>2026.03</t>
  </si>
  <si>
    <t>2026.04</t>
  </si>
  <si>
    <t>2026.05</t>
  </si>
  <si>
    <t>2026.06</t>
  </si>
  <si>
    <t>2026.07</t>
  </si>
  <si>
    <t>2026.08</t>
  </si>
  <si>
    <t>2026.09</t>
  </si>
  <si>
    <t>2026.10</t>
  </si>
  <si>
    <t>2026.11</t>
  </si>
  <si>
    <t>kategória</t>
  </si>
  <si>
    <t>Nem rendszeres juttatás</t>
  </si>
  <si>
    <t>Bér járulék</t>
  </si>
  <si>
    <t>Beruházás</t>
  </si>
  <si>
    <t>Nettó összeg</t>
  </si>
  <si>
    <t>ÁFA</t>
  </si>
  <si>
    <t>Bruttó összeg</t>
  </si>
  <si>
    <t>SAP iktatószám</t>
  </si>
  <si>
    <t>Anyagköltség ÁFA</t>
  </si>
  <si>
    <t>Működési ÁFA összesen</t>
  </si>
  <si>
    <t>Szolgáltatási szerződés ÁFA</t>
  </si>
  <si>
    <t>Barta Karola</t>
  </si>
  <si>
    <t>projekt</t>
  </si>
  <si>
    <t>munkaidő</t>
  </si>
  <si>
    <t>Liker András</t>
  </si>
  <si>
    <t>Vargáné Hajda Tímea</t>
  </si>
  <si>
    <t>Szakmai megvalósítíó</t>
  </si>
  <si>
    <t>Egyéb (segédszemélyzet)</t>
  </si>
  <si>
    <t>SZERVEZETI EGYSÉGEK SZERINT</t>
  </si>
  <si>
    <t>Szervezeti egység</t>
  </si>
  <si>
    <t>Felhasználás</t>
  </si>
  <si>
    <t>Fennmaradó 
egyenleg</t>
  </si>
  <si>
    <t xml:space="preserve">Köt. váll. </t>
  </si>
  <si>
    <t>Köt. vállal terhelt egyenleg</t>
  </si>
  <si>
    <t>Mindösszesen</t>
  </si>
  <si>
    <t>Adó</t>
  </si>
  <si>
    <t>azonosító</t>
  </si>
  <si>
    <t>8471173581</t>
  </si>
  <si>
    <t>8427102364</t>
  </si>
  <si>
    <t>8360760632</t>
  </si>
  <si>
    <t>8400535464</t>
  </si>
  <si>
    <t>Hoffer András</t>
  </si>
  <si>
    <t>C201100000</t>
  </si>
  <si>
    <t>8399513814</t>
  </si>
  <si>
    <t>Jancsek-Turóczi Beatrix</t>
  </si>
  <si>
    <t>8433840320</t>
  </si>
  <si>
    <t>Osán János</t>
  </si>
  <si>
    <t>8368942748</t>
  </si>
  <si>
    <t>Kovács Bálint</t>
  </si>
  <si>
    <t>8458363844</t>
  </si>
  <si>
    <t>Ádámné Bukor Boglárka</t>
  </si>
  <si>
    <t>8470403168</t>
  </si>
  <si>
    <t>Járvás Gábor</t>
  </si>
  <si>
    <t>8422871416</t>
  </si>
  <si>
    <t>Tóth-Bodrogi Edit</t>
  </si>
  <si>
    <t>C211100000</t>
  </si>
  <si>
    <t>8408031821</t>
  </si>
  <si>
    <t>Kovács Zoltán</t>
  </si>
  <si>
    <t>C211110000</t>
  </si>
  <si>
    <t>8437361664</t>
  </si>
  <si>
    <t>Sebestyén Viktor</t>
  </si>
  <si>
    <t>8442983112</t>
  </si>
  <si>
    <t>Támogatás évek szerint:</t>
  </si>
  <si>
    <t>1. kutatási év</t>
  </si>
  <si>
    <t>2. kutatási év</t>
  </si>
  <si>
    <t>3. kutatási év</t>
  </si>
  <si>
    <t>4. kutatási év</t>
  </si>
  <si>
    <t>Összköltség:</t>
  </si>
  <si>
    <t>2022.12.01-2026.11.30</t>
  </si>
  <si>
    <t>Projekt futamideje:</t>
  </si>
  <si>
    <t>2022. IV. negyedév</t>
  </si>
  <si>
    <t>2023. IV. negyedév</t>
  </si>
  <si>
    <t>2024. IV. negyedév</t>
  </si>
  <si>
    <t>2025. IV. negyedév</t>
  </si>
  <si>
    <t>Átcsoportosítás:</t>
  </si>
  <si>
    <t>személyi jellegű költség csak különlegesen indokolt esetben léphető túl</t>
  </si>
  <si>
    <r>
      <t xml:space="preserve">a támogatás 25%-ig előzetes kérelemmel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 átcsoportosítható</t>
    </r>
  </si>
  <si>
    <r>
      <t xml:space="preserve">25%-ot meghaladó mértékben történő átcsoportosítása a </t>
    </r>
    <r>
      <rPr>
        <b/>
        <sz val="11"/>
        <color theme="1"/>
        <rFont val="Calibri"/>
        <family val="2"/>
        <charset val="238"/>
        <scheme val="minor"/>
      </rPr>
      <t>költségnemek</t>
    </r>
    <r>
      <rPr>
        <sz val="11"/>
        <color theme="1"/>
        <rFont val="Calibri"/>
        <family val="2"/>
        <charset val="238"/>
        <scheme val="minor"/>
      </rPr>
      <t xml:space="preserve"> között: TO módosítás szükséges</t>
    </r>
  </si>
  <si>
    <r>
      <t xml:space="preserve">új </t>
    </r>
    <r>
      <rPr>
        <b/>
        <sz val="11"/>
        <color theme="1"/>
        <rFont val="Calibri"/>
        <family val="2"/>
        <charset val="238"/>
        <scheme val="minor"/>
      </rPr>
      <t>költségnem</t>
    </r>
    <r>
      <rPr>
        <sz val="11"/>
        <color theme="1"/>
        <rFont val="Calibri"/>
        <family val="2"/>
        <charset val="238"/>
        <scheme val="minor"/>
      </rPr>
      <t xml:space="preserve"> bevezetésekor előzetes kérelem szükséges</t>
    </r>
  </si>
  <si>
    <r>
      <rPr>
        <b/>
        <sz val="11"/>
        <color theme="1"/>
        <rFont val="Calibri"/>
        <family val="2"/>
        <charset val="238"/>
        <scheme val="minor"/>
      </rPr>
      <t>költségtételek</t>
    </r>
    <r>
      <rPr>
        <sz val="11"/>
        <color theme="1"/>
        <rFont val="Calibri"/>
        <family val="2"/>
        <charset val="238"/>
        <scheme val="minor"/>
      </rPr>
      <t xml:space="preserve"> közötti átcsoportostás saját hatáskörben megengedett</t>
    </r>
  </si>
  <si>
    <t>Vagyon elidegenítése a projekt határidejét követő 5 évig csak a támogató engedélyével valósulhat meg.</t>
  </si>
  <si>
    <t>Rezsiköltség elszámolható.</t>
  </si>
  <si>
    <t>Adminisztrációs és projektmenedzsment költség elszámolható.</t>
  </si>
  <si>
    <t xml:space="preserve">Az előző kutatási évben fel nem használt támogatás átvihető a következő kutatási évre, ha az elvégzett kutatás eredményes minősítéssel zárult. A maradvány a teljes kutatási időszak végéig felhasználható. </t>
  </si>
  <si>
    <r>
      <t xml:space="preserve">TO módosítás különösen indokolt esetben </t>
    </r>
    <r>
      <rPr>
        <b/>
        <sz val="11"/>
        <color theme="1"/>
        <rFont val="Calibri"/>
        <family val="2"/>
        <charset val="238"/>
        <scheme val="minor"/>
      </rPr>
      <t>egy</t>
    </r>
    <r>
      <rPr>
        <sz val="11"/>
        <color theme="1"/>
        <rFont val="Calibri"/>
        <family val="2"/>
        <charset val="238"/>
        <scheme val="minor"/>
      </rPr>
      <t xml:space="preserve"> alkalommal történhet.</t>
    </r>
  </si>
  <si>
    <t>Szakmai teljesítési határidők: minden év november 30.</t>
  </si>
  <si>
    <t>Pénzügyi teljesítési határidők: minden év december 31.</t>
  </si>
  <si>
    <t>Szakmai beszámolók benyújtásának határideje: minden év január 31.</t>
  </si>
  <si>
    <t>Pénzügyi elszámolások benyújtásánnak határideje: minden év február 28.</t>
  </si>
  <si>
    <t>A 200 ezer Ft-ot meghaladó beszerzéseknél írásbeli megállapodás szükséges.</t>
  </si>
  <si>
    <t>A pénzügyi elszámolásokat papír alapon kell elküldeni az MTA Titkársága Gazdasági Igazgatóság részére. Elektronikusan pedig emailben kell.</t>
  </si>
  <si>
    <t>Hiteles másolatként kell elküldeni a dokumentumokat, a hitelesítést  a szervezet képviselőjének kell aláírnia, dátummal bélyegzővel ellátni.</t>
  </si>
  <si>
    <t>Csatolandó dokumentumok:</t>
  </si>
  <si>
    <t xml:space="preserve">Személyi költségek: </t>
  </si>
  <si>
    <t>munkaszerződés, többletfeladat, munkaköri leírás, munkaidő nyilvántartás, bérkarton, kifizetési bizonylat, járulék befizetéséről szóló bizonylat</t>
  </si>
  <si>
    <t xml:space="preserve">Dologi és beruházás: </t>
  </si>
  <si>
    <t>számla, terhelési értesítő, szerződés/visszaigazolt megrendelés, árajánlat, beruházás állománybavételi bizonylat</t>
  </si>
  <si>
    <t>Devizás számláknál a teljesítés napján érvényes MNB árfolyamon kell átszámolni az összeget.</t>
  </si>
  <si>
    <t>Minden bizonylatot záradékoni szükséges (okirat azonosító és az összeget kell tartalmaznia, nincs konkrét szöveg)</t>
  </si>
  <si>
    <t>A bizonylaton a kedvezmény igazolja, hogy a támogatott tevékenység megvalósításával kapcsolatban merült fel a költség.</t>
  </si>
  <si>
    <t>A bizonylatokat a támogatás felhasználását követő 10 évig kell megőrizni.</t>
  </si>
  <si>
    <t>i</t>
  </si>
  <si>
    <t>Czikkelyné Dr. Ágh Nóra</t>
  </si>
  <si>
    <t>8451441513</t>
  </si>
  <si>
    <t>Mihalik Bendegúz</t>
  </si>
  <si>
    <t>8451324509</t>
  </si>
  <si>
    <t>Járulék</t>
  </si>
  <si>
    <t>eltérés</t>
  </si>
  <si>
    <t>Név</t>
  </si>
  <si>
    <t>Adóazonosító</t>
  </si>
  <si>
    <t>Számfejtés</t>
  </si>
  <si>
    <t>EGYEZIK</t>
  </si>
  <si>
    <t>Rostási Ágnes</t>
  </si>
  <si>
    <t>8418752394</t>
  </si>
  <si>
    <t>Seress Gábor</t>
  </si>
  <si>
    <t>8424702352</t>
  </si>
  <si>
    <t>M211130000</t>
  </si>
  <si>
    <t>Dr. Liker András</t>
  </si>
  <si>
    <t>Dr. Tóth-Bodrogi Edit</t>
  </si>
  <si>
    <t>Dr. Sebestyén Viktor</t>
  </si>
  <si>
    <t>Dr. Járvás Gábor</t>
  </si>
  <si>
    <t>Dr. Jancsek-Turóczi Beatrix</t>
  </si>
  <si>
    <t>Dr. Hoffer András</t>
  </si>
  <si>
    <t>Szalóczy Zsolt</t>
  </si>
  <si>
    <t>8352082973</t>
  </si>
  <si>
    <t>2023.04.15-04.30</t>
  </si>
  <si>
    <t>Stumpf-Bíró Balázs Ferenc</t>
  </si>
  <si>
    <t>8403385226</t>
  </si>
  <si>
    <t>Dr. Rostási Ágnes</t>
  </si>
  <si>
    <t>Dr. Osán János</t>
  </si>
  <si>
    <t>Barta Karola Anna</t>
  </si>
  <si>
    <t>2023.02.13-02.28</t>
  </si>
  <si>
    <t>Terhelés</t>
  </si>
  <si>
    <t>Hónap</t>
  </si>
  <si>
    <t>Kihagyás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</si>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</sst>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_-* #,##0_-;\-* #,##0_-;_-* &quot;-&quot;??_-;_-@_-"/>
  </numFmts>
  <fonts count="50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b/>
      <sz val="1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FF0000"/>
      <name val="Times New Roman"/>
      <family val="1"/>
      <charset val="238"/>
    </font>
    <font>
      <b/>
      <i/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0"/>
      <name val="Times New Roman"/>
      <family val="1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auto="1"/>
      </top>
      <bottom/>
      <diagonal/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64">
    <xf numFmtId="0" fontId="0" fillId="0" borderId="0"/>
    <xf numFmtId="0" fontId="10" fillId="3" borderId="13" applyNumberFormat="0" applyAlignment="0" applyProtection="0"/>
    <xf numFmtId="164" fontId="5" fillId="0" borderId="0" applyFont="0" applyFill="0" applyBorder="0" applyAlignment="0" applyProtection="0"/>
    <xf numFmtId="0" fontId="12" fillId="0" borderId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5" fillId="12" borderId="14" applyNumberForma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19" fillId="0" borderId="0" applyNumberFormat="0" applyFill="0" applyBorder="0" applyAlignment="0" applyProtection="0"/>
    <xf numFmtId="0" fontId="20" fillId="21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19" applyNumberFormat="0" applyFill="0" applyAlignment="0" applyProtection="0"/>
    <xf numFmtId="0" fontId="1" fillId="22" borderId="20" applyNumberFormat="0" applyFont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6" borderId="0" applyNumberFormat="0" applyBorder="0" applyAlignment="0" applyProtection="0"/>
    <xf numFmtId="0" fontId="23" fillId="9" borderId="0" applyNumberFormat="0" applyBorder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3" fillId="0" borderId="22" applyNumberFormat="0" applyFill="0" applyAlignment="0" applyProtection="0"/>
    <xf numFmtId="0" fontId="26" fillId="8" borderId="0" applyNumberFormat="0" applyBorder="0" applyAlignment="0" applyProtection="0"/>
    <xf numFmtId="0" fontId="27" fillId="28" borderId="0" applyNumberFormat="0" applyBorder="0" applyAlignment="0" applyProtection="0"/>
    <xf numFmtId="0" fontId="28" fillId="27" borderId="14" applyNumberFormat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9" fillId="0" borderId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9" fillId="6" borderId="0" applyNumberFormat="0" applyBorder="0" applyAlignment="0" applyProtection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4" fillId="27" borderId="21" applyNumberFormat="0" applyAlignment="0" applyProtection="0"/>
    <xf numFmtId="0" fontId="3" fillId="0" borderId="22" applyNumberFormat="0" applyFill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15" fillId="12" borderId="14" applyNumberFormat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9" fillId="6" borderId="0" applyNumberFormat="0" applyBorder="0" applyAlignment="0" applyProtection="0"/>
    <xf numFmtId="0" fontId="9" fillId="0" borderId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0" fontId="28" fillId="27" borderId="14" applyNumberFormat="0" applyAlignment="0" applyProtection="0"/>
    <xf numFmtId="0" fontId="3" fillId="0" borderId="22" applyNumberFormat="0" applyFill="0" applyAlignment="0" applyProtection="0"/>
    <xf numFmtId="0" fontId="24" fillId="27" borderId="21" applyNumberFormat="0" applyAlignment="0" applyProtection="0"/>
    <xf numFmtId="0" fontId="1" fillId="22" borderId="20" applyNumberFormat="0" applyFont="0" applyAlignment="0" applyProtection="0"/>
    <xf numFmtId="0" fontId="15" fillId="12" borderId="14" applyNumberFormat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9" fillId="0" borderId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35" fillId="0" borderId="0"/>
    <xf numFmtId="164" fontId="2" fillId="0" borderId="0" applyFont="0" applyFill="0" applyBorder="0" applyAlignment="0" applyProtection="0"/>
    <xf numFmtId="0" fontId="37" fillId="0" borderId="0"/>
    <xf numFmtId="164" fontId="1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9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</cellStyleXfs>
  <cellXfs count="205">
    <xf numFmtId="0" fontId="0" fillId="0" borderId="0" xfId="0"/>
    <xf numFmtId="3" fontId="0" fillId="0" borderId="0" xfId="0" applyNumberFormat="1"/>
    <xf numFmtId="3" fontId="11" fillId="0" borderId="1" xfId="1" applyNumberFormat="1" applyFont="1" applyFill="1" applyBorder="1" applyAlignment="1" applyProtection="1">
      <alignment wrapText="1"/>
      <protection locked="0"/>
    </xf>
    <xf numFmtId="49" fontId="0" fillId="0" borderId="0" xfId="0" applyNumberFormat="1"/>
    <xf numFmtId="3" fontId="2" fillId="2" borderId="5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49" fontId="2" fillId="29" borderId="0" xfId="0" applyNumberFormat="1" applyFont="1" applyFill="1" applyAlignment="1">
      <alignment horizontal="center" vertical="center"/>
    </xf>
    <xf numFmtId="49" fontId="2" fillId="29" borderId="2" xfId="0" applyNumberFormat="1" applyFont="1" applyFill="1" applyBorder="1" applyAlignment="1">
      <alignment horizontal="center" vertical="center"/>
    </xf>
    <xf numFmtId="0" fontId="11" fillId="0" borderId="0" xfId="0" applyFont="1"/>
    <xf numFmtId="165" fontId="0" fillId="0" borderId="0" xfId="2" applyNumberFormat="1" applyFont="1" applyFill="1"/>
    <xf numFmtId="3" fontId="2" fillId="29" borderId="0" xfId="0" applyNumberFormat="1" applyFont="1" applyFill="1" applyAlignment="1">
      <alignment horizontal="center" vertical="center"/>
    </xf>
    <xf numFmtId="0" fontId="0" fillId="30" borderId="0" xfId="0" applyFill="1"/>
    <xf numFmtId="165" fontId="0" fillId="30" borderId="0" xfId="2" applyNumberFormat="1" applyFont="1" applyFill="1"/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36" fillId="0" borderId="1" xfId="0" applyFont="1" applyBorder="1"/>
    <xf numFmtId="0" fontId="7" fillId="0" borderId="0" xfId="0" applyFont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0" fontId="0" fillId="0" borderId="0" xfId="0" applyNumberFormat="1"/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9" borderId="11" xfId="0" applyNumberFormat="1" applyFont="1" applyFill="1" applyBorder="1" applyAlignment="1">
      <alignment vertical="center"/>
    </xf>
    <xf numFmtId="3" fontId="36" fillId="0" borderId="1" xfId="1" applyNumberFormat="1" applyFont="1" applyFill="1" applyBorder="1" applyAlignment="1" applyProtection="1">
      <alignment horizontal="center" wrapText="1"/>
      <protection locked="0"/>
    </xf>
    <xf numFmtId="0" fontId="11" fillId="0" borderId="1" xfId="0" applyFont="1" applyBorder="1" applyAlignment="1">
      <alignment horizontal="center"/>
    </xf>
    <xf numFmtId="3" fontId="2" fillId="29" borderId="0" xfId="0" applyNumberFormat="1" applyFont="1" applyFill="1" applyAlignment="1">
      <alignment horizontal="center" vertical="center" wrapText="1"/>
    </xf>
    <xf numFmtId="3" fontId="2" fillId="29" borderId="2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0" fontId="36" fillId="0" borderId="23" xfId="0" applyFont="1" applyBorder="1"/>
    <xf numFmtId="3" fontId="36" fillId="0" borderId="23" xfId="1" applyNumberFormat="1" applyFont="1" applyFill="1" applyBorder="1" applyAlignment="1" applyProtection="1">
      <alignment horizontal="center" wrapText="1"/>
      <protection locked="0"/>
    </xf>
    <xf numFmtId="3" fontId="2" fillId="29" borderId="11" xfId="0" applyNumberFormat="1" applyFont="1" applyFill="1" applyBorder="1" applyAlignment="1">
      <alignment horizontal="center" vertical="center"/>
    </xf>
    <xf numFmtId="3" fontId="2" fillId="29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3" fontId="2" fillId="2" borderId="5" xfId="0" applyNumberFormat="1" applyFont="1" applyFill="1" applyBorder="1" applyAlignment="1">
      <alignment vertical="center" wrapText="1"/>
    </xf>
    <xf numFmtId="3" fontId="11" fillId="0" borderId="1" xfId="1" applyNumberFormat="1" applyFont="1" applyFill="1" applyBorder="1" applyAlignment="1" applyProtection="1">
      <alignment horizontal="center" wrapText="1"/>
      <protection locked="0"/>
    </xf>
    <xf numFmtId="3" fontId="36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wrapText="1"/>
    </xf>
    <xf numFmtId="0" fontId="11" fillId="0" borderId="1" xfId="0" applyFont="1" applyBorder="1" applyAlignment="1">
      <alignment horizontal="center" wrapText="1"/>
    </xf>
    <xf numFmtId="166" fontId="38" fillId="0" borderId="1" xfId="0" applyNumberFormat="1" applyFont="1" applyBorder="1" applyAlignment="1">
      <alignment wrapText="1"/>
    </xf>
    <xf numFmtId="10" fontId="11" fillId="0" borderId="1" xfId="0" applyNumberFormat="1" applyFont="1" applyBorder="1" applyAlignment="1">
      <alignment wrapText="1"/>
    </xf>
    <xf numFmtId="3" fontId="11" fillId="0" borderId="23" xfId="2" applyNumberFormat="1" applyFont="1" applyFill="1" applyBorder="1" applyAlignment="1">
      <alignment wrapText="1"/>
    </xf>
    <xf numFmtId="0" fontId="11" fillId="0" borderId="23" xfId="0" applyFont="1" applyBorder="1" applyAlignment="1">
      <alignment horizontal="center" wrapText="1"/>
    </xf>
    <xf numFmtId="166" fontId="38" fillId="0" borderId="23" xfId="0" applyNumberFormat="1" applyFont="1" applyBorder="1" applyAlignment="1">
      <alignment wrapText="1"/>
    </xf>
    <xf numFmtId="10" fontId="11" fillId="0" borderId="23" xfId="138" applyNumberFormat="1" applyFont="1" applyFill="1" applyBorder="1" applyAlignment="1">
      <alignment wrapText="1"/>
    </xf>
    <xf numFmtId="10" fontId="11" fillId="0" borderId="23" xfId="0" applyNumberFormat="1" applyFont="1" applyBorder="1" applyAlignment="1">
      <alignment wrapText="1"/>
    </xf>
    <xf numFmtId="10" fontId="11" fillId="0" borderId="23" xfId="0" applyNumberFormat="1" applyFont="1" applyBorder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29" borderId="1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 applyAlignment="1">
      <alignment horizontal="center" vertical="center" wrapText="1"/>
    </xf>
    <xf numFmtId="0" fontId="36" fillId="31" borderId="1" xfId="0" applyFont="1" applyFill="1" applyBorder="1"/>
    <xf numFmtId="3" fontId="36" fillId="31" borderId="1" xfId="1" applyNumberFormat="1" applyFont="1" applyFill="1" applyBorder="1" applyAlignment="1" applyProtection="1">
      <alignment horizontal="center" wrapText="1"/>
      <protection locked="0"/>
    </xf>
    <xf numFmtId="3" fontId="36" fillId="31" borderId="1" xfId="0" applyNumberFormat="1" applyFont="1" applyFill="1" applyBorder="1" applyAlignment="1">
      <alignment horizontal="left"/>
    </xf>
    <xf numFmtId="3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 wrapText="1"/>
    </xf>
    <xf numFmtId="166" fontId="38" fillId="31" borderId="1" xfId="0" applyNumberFormat="1" applyFont="1" applyFill="1" applyBorder="1" applyAlignment="1">
      <alignment wrapText="1"/>
    </xf>
    <xf numFmtId="10" fontId="11" fillId="31" borderId="1" xfId="0" applyNumberFormat="1" applyFont="1" applyFill="1" applyBorder="1" applyAlignment="1">
      <alignment wrapText="1"/>
    </xf>
    <xf numFmtId="0" fontId="11" fillId="31" borderId="1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33" borderId="0" xfId="0" applyFont="1" applyFill="1" applyAlignment="1">
      <alignment horizontal="center" vertical="center"/>
    </xf>
    <xf numFmtId="0" fontId="34" fillId="33" borderId="0" xfId="0" applyFont="1" applyFill="1" applyAlignment="1">
      <alignment horizontal="center" vertical="center" wrapText="1"/>
    </xf>
    <xf numFmtId="17" fontId="0" fillId="0" borderId="0" xfId="0" quotePrefix="1" applyNumberFormat="1"/>
    <xf numFmtId="0" fontId="0" fillId="0" borderId="0" xfId="0" quotePrefix="1"/>
    <xf numFmtId="3" fontId="36" fillId="0" borderId="23" xfId="0" applyNumberFormat="1" applyFont="1" applyBorder="1" applyAlignment="1">
      <alignment horizontal="left"/>
    </xf>
    <xf numFmtId="3" fontId="11" fillId="0" borderId="23" xfId="0" applyNumberFormat="1" applyFont="1" applyBorder="1" applyAlignment="1">
      <alignment wrapText="1"/>
    </xf>
    <xf numFmtId="0" fontId="11" fillId="0" borderId="23" xfId="0" applyFont="1" applyBorder="1" applyAlignment="1">
      <alignment horizontal="center"/>
    </xf>
    <xf numFmtId="3" fontId="38" fillId="0" borderId="1" xfId="0" applyNumberFormat="1" applyFont="1" applyBorder="1" applyAlignment="1">
      <alignment wrapText="1"/>
    </xf>
    <xf numFmtId="3" fontId="11" fillId="0" borderId="0" xfId="0" applyNumberFormat="1" applyFont="1"/>
    <xf numFmtId="3" fontId="39" fillId="0" borderId="0" xfId="0" applyNumberFormat="1" applyFont="1"/>
    <xf numFmtId="49" fontId="11" fillId="0" borderId="0" xfId="0" applyNumberFormat="1" applyFont="1" applyAlignment="1">
      <alignment horizontal="center"/>
    </xf>
    <xf numFmtId="3" fontId="38" fillId="0" borderId="0" xfId="0" applyNumberFormat="1" applyFont="1"/>
    <xf numFmtId="0" fontId="2" fillId="29" borderId="10" xfId="0" applyFont="1" applyFill="1" applyBorder="1" applyAlignment="1">
      <alignment vertical="center" wrapText="1"/>
    </xf>
    <xf numFmtId="3" fontId="2" fillId="29" borderId="24" xfId="0" applyNumberFormat="1" applyFont="1" applyFill="1" applyBorder="1" applyAlignment="1">
      <alignment horizontal="center" vertical="center"/>
    </xf>
    <xf numFmtId="0" fontId="2" fillId="29" borderId="12" xfId="0" applyFont="1" applyFill="1" applyBorder="1" applyAlignment="1">
      <alignment vertical="center" wrapText="1"/>
    </xf>
    <xf numFmtId="3" fontId="11" fillId="0" borderId="8" xfId="0" applyNumberFormat="1" applyFont="1" applyBorder="1" applyAlignment="1">
      <alignment vertical="center" wrapText="1"/>
    </xf>
    <xf numFmtId="0" fontId="2" fillId="29" borderId="8" xfId="0" applyFont="1" applyFill="1" applyBorder="1" applyAlignment="1">
      <alignment horizontal="center" vertical="center" wrapText="1"/>
    </xf>
    <xf numFmtId="0" fontId="2" fillId="29" borderId="9" xfId="0" applyFont="1" applyFill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10" fontId="11" fillId="0" borderId="1" xfId="138" applyNumberFormat="1" applyFont="1" applyFill="1" applyBorder="1" applyAlignment="1">
      <alignment wrapText="1"/>
    </xf>
    <xf numFmtId="0" fontId="0" fillId="36" borderId="1" xfId="0" applyFill="1" applyBorder="1"/>
    <xf numFmtId="165" fontId="0" fillId="36" borderId="1" xfId="2" applyNumberFormat="1" applyFont="1" applyFill="1" applyBorder="1"/>
    <xf numFmtId="165" fontId="9" fillId="36" borderId="1" xfId="2" applyNumberFormat="1" applyFont="1" applyFill="1" applyBorder="1"/>
    <xf numFmtId="0" fontId="34" fillId="37" borderId="1" xfId="0" applyFont="1" applyFill="1" applyBorder="1"/>
    <xf numFmtId="0" fontId="0" fillId="37" borderId="1" xfId="0" applyFill="1" applyBorder="1"/>
    <xf numFmtId="165" fontId="9" fillId="37" borderId="1" xfId="2" applyNumberFormat="1" applyFont="1" applyFill="1" applyBorder="1"/>
    <xf numFmtId="0" fontId="0" fillId="35" borderId="1" xfId="0" applyFill="1" applyBorder="1"/>
    <xf numFmtId="165" fontId="0" fillId="35" borderId="1" xfId="2" applyNumberFormat="1" applyFont="1" applyFill="1" applyBorder="1"/>
    <xf numFmtId="165" fontId="9" fillId="35" borderId="1" xfId="2" applyNumberFormat="1" applyFont="1" applyFill="1" applyBorder="1"/>
    <xf numFmtId="0" fontId="34" fillId="34" borderId="0" xfId="0" applyFont="1" applyFill="1"/>
    <xf numFmtId="0" fontId="0" fillId="34" borderId="0" xfId="0" applyFill="1"/>
    <xf numFmtId="0" fontId="0" fillId="0" borderId="28" xfId="0" applyBorder="1" applyAlignment="1">
      <alignment horizontal="center" vertical="center" wrapText="1"/>
    </xf>
    <xf numFmtId="165" fontId="11" fillId="0" borderId="0" xfId="2" applyNumberFormat="1" applyFont="1" applyFill="1" applyBorder="1" applyAlignment="1">
      <alignment vertical="center" wrapText="1"/>
    </xf>
    <xf numFmtId="2" fontId="0" fillId="0" borderId="0" xfId="0" applyNumberFormat="1"/>
    <xf numFmtId="0" fontId="2" fillId="29" borderId="0" xfId="0" applyFont="1" applyFill="1" applyAlignment="1">
      <alignment vertical="center" wrapText="1"/>
    </xf>
    <xf numFmtId="10" fontId="11" fillId="0" borderId="0" xfId="0" applyNumberFormat="1" applyFont="1" applyAlignment="1">
      <alignment horizontal="center" wrapText="1"/>
    </xf>
    <xf numFmtId="10" fontId="11" fillId="31" borderId="0" xfId="0" applyNumberFormat="1" applyFont="1" applyFill="1" applyAlignment="1">
      <alignment horizontal="center" wrapText="1"/>
    </xf>
    <xf numFmtId="0" fontId="41" fillId="0" borderId="0" xfId="0" applyFont="1" applyAlignment="1">
      <alignment horizontal="left" vertical="center"/>
    </xf>
    <xf numFmtId="49" fontId="11" fillId="0" borderId="0" xfId="0" applyNumberFormat="1" applyFont="1"/>
    <xf numFmtId="0" fontId="8" fillId="0" borderId="1" xfId="0" applyFont="1" applyBorder="1"/>
    <xf numFmtId="0" fontId="11" fillId="0" borderId="1" xfId="0" applyFont="1" applyBorder="1"/>
    <xf numFmtId="3" fontId="6" fillId="0" borderId="1" xfId="0" applyNumberFormat="1" applyFont="1" applyBorder="1" applyAlignment="1">
      <alignment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6" fontId="33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wrapText="1"/>
    </xf>
    <xf numFmtId="10" fontId="6" fillId="0" borderId="1" xfId="0" applyNumberFormat="1" applyFont="1" applyBorder="1" applyAlignment="1">
      <alignment horizontal="center" wrapText="1"/>
    </xf>
    <xf numFmtId="10" fontId="6" fillId="0" borderId="0" xfId="0" applyNumberFormat="1" applyFont="1" applyAlignment="1">
      <alignment horizontal="center" wrapText="1"/>
    </xf>
    <xf numFmtId="165" fontId="11" fillId="0" borderId="0" xfId="2" applyNumberFormat="1" applyFont="1" applyFill="1"/>
    <xf numFmtId="0" fontId="38" fillId="0" borderId="0" xfId="0" applyFont="1"/>
    <xf numFmtId="165" fontId="11" fillId="0" borderId="0" xfId="0" applyNumberFormat="1" applyFont="1" applyAlignment="1">
      <alignment horizontal="center" vertical="center"/>
    </xf>
    <xf numFmtId="0" fontId="38" fillId="0" borderId="10" xfId="0" applyFont="1" applyBorder="1" applyAlignment="1">
      <alignment horizontal="center" vertical="center" wrapText="1"/>
    </xf>
    <xf numFmtId="0" fontId="38" fillId="0" borderId="11" xfId="0" applyFont="1" applyBorder="1" applyAlignment="1">
      <alignment horizontal="center" vertical="center"/>
    </xf>
    <xf numFmtId="0" fontId="38" fillId="0" borderId="11" xfId="0" applyFont="1" applyBorder="1" applyAlignment="1">
      <alignment horizontal="center" vertical="center" wrapText="1"/>
    </xf>
    <xf numFmtId="0" fontId="38" fillId="0" borderId="24" xfId="0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0" fillId="38" borderId="1" xfId="0" applyFill="1" applyBorder="1"/>
    <xf numFmtId="165" fontId="0" fillId="38" borderId="1" xfId="2" applyNumberFormat="1" applyFont="1" applyFill="1" applyBorder="1"/>
    <xf numFmtId="165" fontId="9" fillId="38" borderId="1" xfId="2" applyNumberFormat="1" applyFont="1" applyFill="1" applyBorder="1"/>
    <xf numFmtId="3" fontId="2" fillId="2" borderId="10" xfId="0" applyNumberFormat="1" applyFont="1" applyFill="1" applyBorder="1" applyAlignment="1">
      <alignment vertical="center" wrapText="1"/>
    </xf>
    <xf numFmtId="0" fontId="34" fillId="0" borderId="1" xfId="0" applyFont="1" applyBorder="1"/>
    <xf numFmtId="165" fontId="34" fillId="0" borderId="1" xfId="2" applyNumberFormat="1" applyFont="1" applyFill="1" applyBorder="1"/>
    <xf numFmtId="0" fontId="0" fillId="0" borderId="1" xfId="0" applyBorder="1"/>
    <xf numFmtId="165" fontId="0" fillId="0" borderId="1" xfId="2" applyNumberFormat="1" applyFont="1" applyFill="1" applyBorder="1"/>
    <xf numFmtId="165" fontId="9" fillId="0" borderId="1" xfId="2" applyNumberFormat="1" applyFont="1" applyFill="1" applyBorder="1"/>
    <xf numFmtId="0" fontId="0" fillId="29" borderId="1" xfId="0" applyFill="1" applyBorder="1"/>
    <xf numFmtId="165" fontId="0" fillId="29" borderId="1" xfId="2" applyNumberFormat="1" applyFont="1" applyFill="1" applyBorder="1"/>
    <xf numFmtId="165" fontId="9" fillId="29" borderId="1" xfId="2" applyNumberFormat="1" applyFont="1" applyFill="1" applyBorder="1"/>
    <xf numFmtId="0" fontId="11" fillId="0" borderId="10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49" fontId="11" fillId="0" borderId="24" xfId="0" applyNumberFormat="1" applyFont="1" applyBorder="1" applyAlignment="1">
      <alignment horizontal="center" vertical="center" wrapText="1"/>
    </xf>
    <xf numFmtId="0" fontId="11" fillId="0" borderId="24" xfId="0" applyFont="1" applyBorder="1" applyAlignment="1">
      <alignment vertical="center" wrapText="1"/>
    </xf>
    <xf numFmtId="165" fontId="11" fillId="0" borderId="24" xfId="2" applyNumberFormat="1" applyFont="1" applyFill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1" fillId="0" borderId="0" xfId="0" applyNumberFormat="1" applyFont="1" applyAlignment="1">
      <alignment horizontal="left" vertical="center" wrapText="1"/>
    </xf>
    <xf numFmtId="165" fontId="0" fillId="0" borderId="29" xfId="2" applyNumberFormat="1" applyFont="1" applyFill="1" applyBorder="1" applyAlignment="1">
      <alignment vertical="center" wrapText="1"/>
    </xf>
    <xf numFmtId="165" fontId="0" fillId="29" borderId="23" xfId="2" applyNumberFormat="1" applyFont="1" applyFill="1" applyBorder="1"/>
    <xf numFmtId="165" fontId="9" fillId="29" borderId="23" xfId="2" applyNumberFormat="1" applyFont="1" applyFill="1" applyBorder="1"/>
    <xf numFmtId="0" fontId="42" fillId="32" borderId="1" xfId="0" applyFont="1" applyFill="1" applyBorder="1"/>
    <xf numFmtId="165" fontId="43" fillId="32" borderId="1" xfId="2" applyNumberFormat="1" applyFont="1" applyFill="1" applyBorder="1"/>
    <xf numFmtId="10" fontId="11" fillId="0" borderId="1" xfId="138" applyNumberFormat="1" applyFont="1" applyFill="1" applyBorder="1" applyAlignment="1">
      <alignment horizontal="center" wrapText="1"/>
    </xf>
    <xf numFmtId="14" fontId="36" fillId="0" borderId="1" xfId="0" applyNumberFormat="1" applyFont="1" applyBorder="1" applyAlignment="1">
      <alignment horizontal="center" wrapText="1"/>
    </xf>
    <xf numFmtId="0" fontId="34" fillId="39" borderId="30" xfId="0" applyFont="1" applyFill="1" applyBorder="1" applyAlignment="1">
      <alignment horizontal="left"/>
    </xf>
    <xf numFmtId="0" fontId="0" fillId="39" borderId="31" xfId="0" applyFill="1" applyBorder="1" applyAlignment="1">
      <alignment horizontal="center"/>
    </xf>
    <xf numFmtId="167" fontId="11" fillId="39" borderId="31" xfId="0" applyNumberFormat="1" applyFont="1" applyFill="1" applyBorder="1"/>
    <xf numFmtId="167" fontId="11" fillId="39" borderId="32" xfId="0" applyNumberFormat="1" applyFont="1" applyFill="1" applyBorder="1"/>
    <xf numFmtId="167" fontId="44" fillId="0" borderId="33" xfId="0" applyNumberFormat="1" applyFont="1" applyBorder="1" applyAlignment="1">
      <alignment horizontal="center" vertical="center" wrapText="1"/>
    </xf>
    <xf numFmtId="167" fontId="44" fillId="0" borderId="1" xfId="0" applyNumberFormat="1" applyFont="1" applyBorder="1" applyAlignment="1">
      <alignment horizontal="center" vertical="center" wrapText="1"/>
    </xf>
    <xf numFmtId="167" fontId="44" fillId="0" borderId="34" xfId="0" applyNumberFormat="1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34" xfId="0" applyFont="1" applyFill="1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1" xfId="0" applyBorder="1" applyAlignment="1">
      <alignment horizontal="center"/>
    </xf>
    <xf numFmtId="3" fontId="11" fillId="40" borderId="1" xfId="0" applyNumberFormat="1" applyFont="1" applyFill="1" applyBorder="1" applyAlignment="1">
      <alignment horizontal="right"/>
    </xf>
    <xf numFmtId="167" fontId="11" fillId="0" borderId="1" xfId="0" applyNumberFormat="1" applyFont="1" applyBorder="1" applyAlignment="1">
      <alignment horizontal="right"/>
    </xf>
    <xf numFmtId="167" fontId="11" fillId="0" borderId="34" xfId="0" applyNumberFormat="1" applyFont="1" applyBorder="1" applyAlignment="1">
      <alignment horizontal="right"/>
    </xf>
    <xf numFmtId="3" fontId="34" fillId="41" borderId="36" xfId="0" applyNumberFormat="1" applyFont="1" applyFill="1" applyBorder="1" applyAlignment="1">
      <alignment horizontal="right" vertical="center"/>
    </xf>
    <xf numFmtId="49" fontId="11" fillId="0" borderId="1" xfId="0" applyNumberFormat="1" applyFont="1" applyBorder="1" applyAlignment="1">
      <alignment wrapText="1"/>
    </xf>
    <xf numFmtId="49" fontId="11" fillId="0" borderId="23" xfId="0" applyNumberFormat="1" applyFont="1" applyBorder="1" applyAlignment="1">
      <alignment wrapText="1"/>
    </xf>
    <xf numFmtId="49" fontId="11" fillId="31" borderId="1" xfId="0" applyNumberFormat="1" applyFont="1" applyFill="1" applyBorder="1" applyAlignment="1">
      <alignment wrapText="1"/>
    </xf>
    <xf numFmtId="165" fontId="0" fillId="0" borderId="0" xfId="2" applyNumberFormat="1" applyFont="1"/>
    <xf numFmtId="0" fontId="34" fillId="41" borderId="36" xfId="0" applyFont="1" applyFill="1" applyBorder="1" applyAlignment="1">
      <alignment vertical="center"/>
    </xf>
    <xf numFmtId="0" fontId="34" fillId="41" borderId="35" xfId="0" applyFont="1" applyFill="1" applyBorder="1" applyAlignment="1">
      <alignment horizontal="left" vertical="center"/>
    </xf>
    <xf numFmtId="0" fontId="0" fillId="42" borderId="0" xfId="0" applyFill="1" applyAlignment="1">
      <alignment vertical="center"/>
    </xf>
    <xf numFmtId="0" fontId="34" fillId="42" borderId="0" xfId="0" applyFont="1" applyFill="1" applyAlignment="1">
      <alignment horizontal="center" vertical="center"/>
    </xf>
    <xf numFmtId="0" fontId="47" fillId="42" borderId="0" xfId="0" applyFont="1" applyFill="1" applyAlignment="1">
      <alignment horizontal="center" vertical="center" wrapText="1"/>
    </xf>
    <xf numFmtId="0" fontId="34" fillId="43" borderId="0" xfId="0" applyFont="1" applyFill="1" applyAlignment="1">
      <alignment horizontal="center"/>
    </xf>
    <xf numFmtId="3" fontId="6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0" fontId="48" fillId="0" borderId="37" xfId="0" applyFont="1" applyBorder="1" applyAlignment="1">
      <alignment horizontal="left"/>
    </xf>
    <xf numFmtId="0" fontId="48" fillId="0" borderId="0" xfId="0" applyFont="1" applyAlignment="1">
      <alignment horizontal="left"/>
    </xf>
    <xf numFmtId="0" fontId="0" fillId="0" borderId="0" xfId="0" applyAlignment="1">
      <alignment horizontal="left"/>
    </xf>
    <xf numFmtId="168" fontId="0" fillId="0" borderId="0" xfId="0" applyNumberFormat="1"/>
    <xf numFmtId="0" fontId="49" fillId="0" borderId="0" xfId="0" applyFont="1"/>
    <xf numFmtId="0" fontId="7" fillId="0" borderId="2" xfId="0" applyFont="1" applyBorder="1" applyAlignment="1">
      <alignment horizontal="center" vertical="center" wrapText="1"/>
    </xf>
  </cellXfs>
  <cellStyles count="164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2 2 2" xfId="155" xr:uid="{00000000-0005-0000-0000-000029000000}"/>
    <cellStyle name="Ezres 2 3" xfId="154" xr:uid="{00000000-0005-0000-0000-00002A000000}"/>
    <cellStyle name="Ezres 3" xfId="142" xr:uid="{00000000-0005-0000-0000-00002B000000}"/>
    <cellStyle name="Ezres 3 2" xfId="156" xr:uid="{00000000-0005-0000-0000-00002C000000}"/>
    <cellStyle name="Ezres 4" xfId="144" xr:uid="{00000000-0005-0000-0000-00002D000000}"/>
    <cellStyle name="Ezres 4 2" xfId="158" xr:uid="{00000000-0005-0000-0000-00002E000000}"/>
    <cellStyle name="Ezres 5" xfId="146" xr:uid="{00000000-0005-0000-0000-00002F000000}"/>
    <cellStyle name="Figyelmeztetés 2" xfId="34" xr:uid="{00000000-0005-0000-0000-000030000000}"/>
    <cellStyle name="Hivatkozás 10" xfId="80" xr:uid="{00000000-0005-0000-0000-000031000000}"/>
    <cellStyle name="Hivatkozás 11" xfId="82" xr:uid="{00000000-0005-0000-0000-000032000000}"/>
    <cellStyle name="Hivatkozás 12" xfId="84" xr:uid="{00000000-0005-0000-0000-000033000000}"/>
    <cellStyle name="Hivatkozás 13" xfId="86" xr:uid="{00000000-0005-0000-0000-000034000000}"/>
    <cellStyle name="Hivatkozás 14" xfId="88" xr:uid="{00000000-0005-0000-0000-000035000000}"/>
    <cellStyle name="Hivatkozás 15" xfId="90" xr:uid="{00000000-0005-0000-0000-000036000000}"/>
    <cellStyle name="Hivatkozás 16" xfId="92" xr:uid="{00000000-0005-0000-0000-000037000000}"/>
    <cellStyle name="Hivatkozás 17" xfId="94" xr:uid="{00000000-0005-0000-0000-000038000000}"/>
    <cellStyle name="Hivatkozás 18" xfId="96" xr:uid="{00000000-0005-0000-0000-000039000000}"/>
    <cellStyle name="Hivatkozás 2" xfId="63" xr:uid="{00000000-0005-0000-0000-00003A000000}"/>
    <cellStyle name="Hivatkozás 3" xfId="65" xr:uid="{00000000-0005-0000-0000-00003B000000}"/>
    <cellStyle name="Hivatkozás 4" xfId="68" xr:uid="{00000000-0005-0000-0000-00003C000000}"/>
    <cellStyle name="Hivatkozás 5" xfId="70" xr:uid="{00000000-0005-0000-0000-00003D000000}"/>
    <cellStyle name="Hivatkozás 6" xfId="72" xr:uid="{00000000-0005-0000-0000-00003E000000}"/>
    <cellStyle name="Hivatkozás 7" xfId="74" xr:uid="{00000000-0005-0000-0000-00003F000000}"/>
    <cellStyle name="Hivatkozás 8" xfId="76" xr:uid="{00000000-0005-0000-0000-000040000000}"/>
    <cellStyle name="Hivatkozás 9" xfId="78" xr:uid="{00000000-0005-0000-0000-000041000000}"/>
    <cellStyle name="Hivatkozott cella 2" xfId="35" xr:uid="{00000000-0005-0000-0000-000042000000}"/>
    <cellStyle name="Jegyzet 2" xfId="36" xr:uid="{00000000-0005-0000-0000-000043000000}"/>
    <cellStyle name="Jegyzet 2 2" xfId="57" xr:uid="{00000000-0005-0000-0000-000044000000}"/>
    <cellStyle name="Jegyzet 2 2 2" xfId="105" xr:uid="{00000000-0005-0000-0000-000045000000}"/>
    <cellStyle name="Jegyzet 2 2 3" xfId="121" xr:uid="{00000000-0005-0000-0000-000046000000}"/>
    <cellStyle name="Jegyzet 2 2 4" xfId="131" xr:uid="{00000000-0005-0000-0000-000047000000}"/>
    <cellStyle name="Jegyzet 2 2 5" xfId="136" xr:uid="{00000000-0005-0000-0000-000048000000}"/>
    <cellStyle name="Jegyzet 2 3" xfId="108" xr:uid="{00000000-0005-0000-0000-000049000000}"/>
    <cellStyle name="Jegyzet 2 4" xfId="107" xr:uid="{00000000-0005-0000-0000-00004A000000}"/>
    <cellStyle name="Jegyzet 2 5" xfId="99" xr:uid="{00000000-0005-0000-0000-00004B000000}"/>
    <cellStyle name="Jelölőszín (1) 2" xfId="37" xr:uid="{00000000-0005-0000-0000-00004C000000}"/>
    <cellStyle name="Jelölőszín (2) 2" xfId="38" xr:uid="{00000000-0005-0000-0000-00004D000000}"/>
    <cellStyle name="Jelölőszín (2) 3" xfId="67" xr:uid="{00000000-0005-0000-0000-00004E000000}"/>
    <cellStyle name="Jelölőszín (3) 2" xfId="39" xr:uid="{00000000-0005-0000-0000-00004F000000}"/>
    <cellStyle name="Jelölőszín (4) 2" xfId="40" xr:uid="{00000000-0005-0000-0000-000050000000}"/>
    <cellStyle name="Jelölőszín (5) 2" xfId="41" xr:uid="{00000000-0005-0000-0000-000051000000}"/>
    <cellStyle name="Jelölőszín (6) 2" xfId="42" xr:uid="{00000000-0005-0000-0000-000052000000}"/>
    <cellStyle name="Jó 2" xfId="43" xr:uid="{00000000-0005-0000-0000-000053000000}"/>
    <cellStyle name="Kimenet 2" xfId="44" xr:uid="{00000000-0005-0000-0000-000054000000}"/>
    <cellStyle name="Kimenet 2 2" xfId="58" xr:uid="{00000000-0005-0000-0000-000055000000}"/>
    <cellStyle name="Kimenet 2 2 2" xfId="104" xr:uid="{00000000-0005-0000-0000-000056000000}"/>
    <cellStyle name="Kimenet 2 2 3" xfId="110" xr:uid="{00000000-0005-0000-0000-000057000000}"/>
    <cellStyle name="Kimenet 2 2 4" xfId="130" xr:uid="{00000000-0005-0000-0000-000058000000}"/>
    <cellStyle name="Kimenet 2 2 5" xfId="135" xr:uid="{00000000-0005-0000-0000-000059000000}"/>
    <cellStyle name="Kimenet 2 3" xfId="120" xr:uid="{00000000-0005-0000-0000-00005A000000}"/>
    <cellStyle name="Kimenet 2 4" xfId="101" xr:uid="{00000000-0005-0000-0000-00005B000000}"/>
    <cellStyle name="Kimenet 2 5" xfId="98" xr:uid="{00000000-0005-0000-0000-00005C000000}"/>
    <cellStyle name="Látott hivatkozás 10" xfId="81" xr:uid="{00000000-0005-0000-0000-00005D000000}"/>
    <cellStyle name="Látott hivatkozás 11" xfId="83" xr:uid="{00000000-0005-0000-0000-00005E000000}"/>
    <cellStyle name="Látott hivatkozás 12" xfId="85" xr:uid="{00000000-0005-0000-0000-00005F000000}"/>
    <cellStyle name="Látott hivatkozás 13" xfId="87" xr:uid="{00000000-0005-0000-0000-000060000000}"/>
    <cellStyle name="Látott hivatkozás 14" xfId="89" xr:uid="{00000000-0005-0000-0000-000061000000}"/>
    <cellStyle name="Látott hivatkozás 15" xfId="91" xr:uid="{00000000-0005-0000-0000-000062000000}"/>
    <cellStyle name="Látott hivatkozás 16" xfId="93" xr:uid="{00000000-0005-0000-0000-000063000000}"/>
    <cellStyle name="Látott hivatkozás 17" xfId="95" xr:uid="{00000000-0005-0000-0000-000064000000}"/>
    <cellStyle name="Látott hivatkozás 18" xfId="97" xr:uid="{00000000-0005-0000-0000-000065000000}"/>
    <cellStyle name="Látott hivatkozás 2" xfId="64" xr:uid="{00000000-0005-0000-0000-000066000000}"/>
    <cellStyle name="Látott hivatkozás 3" xfId="66" xr:uid="{00000000-0005-0000-0000-000067000000}"/>
    <cellStyle name="Látott hivatkozás 4" xfId="69" xr:uid="{00000000-0005-0000-0000-000068000000}"/>
    <cellStyle name="Látott hivatkozás 5" xfId="71" xr:uid="{00000000-0005-0000-0000-000069000000}"/>
    <cellStyle name="Látott hivatkozás 6" xfId="73" xr:uid="{00000000-0005-0000-0000-00006A000000}"/>
    <cellStyle name="Látott hivatkozás 7" xfId="75" xr:uid="{00000000-0005-0000-0000-00006B000000}"/>
    <cellStyle name="Látott hivatkozás 8" xfId="77" xr:uid="{00000000-0005-0000-0000-00006C000000}"/>
    <cellStyle name="Látott hivatkozás 9" xfId="79" xr:uid="{00000000-0005-0000-0000-00006D000000}"/>
    <cellStyle name="Magyarázó szöveg 2" xfId="45" xr:uid="{00000000-0005-0000-0000-00006E000000}"/>
    <cellStyle name="Normál" xfId="0" builtinId="0"/>
    <cellStyle name="Normál 2" xfId="4" xr:uid="{00000000-0005-0000-0000-000070000000}"/>
    <cellStyle name="Normál 2 2" xfId="8" xr:uid="{00000000-0005-0000-0000-000071000000}"/>
    <cellStyle name="Normál 2 2 2" xfId="151" xr:uid="{00000000-0005-0000-0000-000072000000}"/>
    <cellStyle name="Normál 2 3" xfId="147" xr:uid="{00000000-0005-0000-0000-000073000000}"/>
    <cellStyle name="Normál 3" xfId="52" xr:uid="{00000000-0005-0000-0000-000074000000}"/>
    <cellStyle name="Normál 3 2" xfId="54" xr:uid="{00000000-0005-0000-0000-000075000000}"/>
    <cellStyle name="Normál 3 2 2" xfId="117" xr:uid="{00000000-0005-0000-0000-000076000000}"/>
    <cellStyle name="Normál 3 3" xfId="62" xr:uid="{00000000-0005-0000-0000-000077000000}"/>
    <cellStyle name="Normál 3 3 2" xfId="119" xr:uid="{00000000-0005-0000-0000-000078000000}"/>
    <cellStyle name="Normál 3 4" xfId="115" xr:uid="{00000000-0005-0000-0000-000079000000}"/>
    <cellStyle name="Normál 4" xfId="7" xr:uid="{00000000-0005-0000-0000-00007A000000}"/>
    <cellStyle name="Normál 4 2" xfId="150" xr:uid="{00000000-0005-0000-0000-00007B000000}"/>
    <cellStyle name="Normál 5" xfId="3" xr:uid="{00000000-0005-0000-0000-00007C000000}"/>
    <cellStyle name="Normál 6" xfId="140" xr:uid="{00000000-0005-0000-0000-00007D000000}"/>
    <cellStyle name="Normál 7" xfId="143" xr:uid="{00000000-0005-0000-0000-00007E000000}"/>
    <cellStyle name="Normál 7 2" xfId="157" xr:uid="{00000000-0005-0000-0000-00007F000000}"/>
    <cellStyle name="Normál 8" xfId="145" xr:uid="{00000000-0005-0000-0000-000080000000}"/>
    <cellStyle name="Normál 8 2" xfId="159" xr:uid="{00000000-0005-0000-0000-000081000000}"/>
    <cellStyle name="Összesen 2" xfId="46" xr:uid="{00000000-0005-0000-0000-000082000000}"/>
    <cellStyle name="Összesen 2 2" xfId="59" xr:uid="{00000000-0005-0000-0000-000083000000}"/>
    <cellStyle name="Összesen 2 2 2" xfId="103" xr:uid="{00000000-0005-0000-0000-000084000000}"/>
    <cellStyle name="Összesen 2 2 3" xfId="111" xr:uid="{00000000-0005-0000-0000-000085000000}"/>
    <cellStyle name="Összesen 2 2 4" xfId="129" xr:uid="{00000000-0005-0000-0000-000086000000}"/>
    <cellStyle name="Összesen 2 2 5" xfId="134" xr:uid="{00000000-0005-0000-0000-000087000000}"/>
    <cellStyle name="Összesen 2 3" xfId="125" xr:uid="{00000000-0005-0000-0000-000088000000}"/>
    <cellStyle name="Összesen 2 4" xfId="128" xr:uid="{00000000-0005-0000-0000-000089000000}"/>
    <cellStyle name="Összesen 2 5" xfId="100" xr:uid="{00000000-0005-0000-0000-00008A000000}"/>
    <cellStyle name="Pénznem 2" xfId="50" xr:uid="{00000000-0005-0000-0000-00008B000000}"/>
    <cellStyle name="Pénznem 2 2" xfId="152" xr:uid="{00000000-0005-0000-0000-00008C000000}"/>
    <cellStyle name="Pénznem 2 2 2" xfId="163" xr:uid="{B2882C45-1957-47E0-8376-5C87D212B482}"/>
    <cellStyle name="Pénznem 2 3" xfId="161" xr:uid="{879F4CD4-195F-47D3-943B-83468D8316F0}"/>
    <cellStyle name="Pénznem 3" xfId="5" xr:uid="{00000000-0005-0000-0000-00008D000000}"/>
    <cellStyle name="Pénznem 3 2" xfId="148" xr:uid="{00000000-0005-0000-0000-00008E000000}"/>
    <cellStyle name="Pénznem 3 2 2" xfId="162" xr:uid="{AB9B85BE-E422-4E7B-BD6A-DC3CB2D29904}"/>
    <cellStyle name="Pénznem 3 3" xfId="160" xr:uid="{1C981F17-D61A-4104-9BF0-D409E9C9A227}"/>
    <cellStyle name="Rossz 2" xfId="47" xr:uid="{00000000-0005-0000-0000-00008F000000}"/>
    <cellStyle name="Semleges 2" xfId="48" xr:uid="{00000000-0005-0000-0000-000090000000}"/>
    <cellStyle name="Számítás 2" xfId="49" xr:uid="{00000000-0005-0000-0000-000091000000}"/>
    <cellStyle name="Számítás 2 2" xfId="60" xr:uid="{00000000-0005-0000-0000-000092000000}"/>
    <cellStyle name="Számítás 2 2 2" xfId="102" xr:uid="{00000000-0005-0000-0000-000093000000}"/>
    <cellStyle name="Számítás 2 2 3" xfId="112" xr:uid="{00000000-0005-0000-0000-000094000000}"/>
    <cellStyle name="Számítás 2 2 4" xfId="123" xr:uid="{00000000-0005-0000-0000-000095000000}"/>
    <cellStyle name="Számítás 2 2 5" xfId="133" xr:uid="{00000000-0005-0000-0000-000096000000}"/>
    <cellStyle name="Számítás 2 3" xfId="124" xr:uid="{00000000-0005-0000-0000-000097000000}"/>
    <cellStyle name="Számítás 2 4" xfId="127" xr:uid="{00000000-0005-0000-0000-000098000000}"/>
    <cellStyle name="Számítás 2 5" xfId="113" xr:uid="{00000000-0005-0000-0000-000099000000}"/>
    <cellStyle name="Százalék" xfId="138" builtinId="5"/>
    <cellStyle name="Százalék 2" xfId="51" xr:uid="{00000000-0005-0000-0000-00009B000000}"/>
    <cellStyle name="Százalék 2 2" xfId="153" xr:uid="{00000000-0005-0000-0000-00009C000000}"/>
    <cellStyle name="Százalék 3" xfId="6" xr:uid="{00000000-0005-0000-0000-00009D000000}"/>
    <cellStyle name="Százalék 3 2" xfId="149" xr:uid="{00000000-0005-0000-0000-00009E000000}"/>
    <cellStyle name="TableStyleLight1" xfId="55" xr:uid="{00000000-0005-0000-0000-00009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>
    <pageSetUpPr fitToPage="1"/>
  </sheetPr>
  <dimension ref="A1:Q20"/>
  <sheetViews>
    <sheetView zoomScaleNormal="100" workbookViewId="0">
      <selection activeCell="G20" sqref="G20:H20"/>
    </sheetView>
  </sheetViews>
  <sheetFormatPr defaultRowHeight="15" x14ac:dyDescent="0.25"/>
  <cols>
    <col min="1" max="1" width="27.140625" customWidth="1"/>
    <col min="2" max="2" width="15.5703125" customWidth="1"/>
    <col min="3" max="5" width="15.85546875" customWidth="1"/>
    <col min="6" max="6" width="17.5703125" customWidth="1"/>
    <col min="7" max="7" width="16.42578125" customWidth="1"/>
    <col min="8" max="8" width="17.7109375" customWidth="1"/>
    <col min="9" max="9" width="18.5703125" customWidth="1"/>
    <col min="11" max="17" width="12.7109375" customWidth="1"/>
  </cols>
  <sheetData>
    <row r="1" spans="1:17" ht="15" customHeight="1" x14ac:dyDescent="0.25">
      <c r="A1" s="110" t="s">
        <v>82</v>
      </c>
      <c r="B1" s="110"/>
      <c r="C1" s="110"/>
      <c r="D1" s="110"/>
      <c r="E1" s="110"/>
      <c r="F1" s="111"/>
      <c r="G1" s="111"/>
      <c r="H1" s="111"/>
      <c r="I1" s="111"/>
      <c r="K1" s="170" t="s">
        <v>151</v>
      </c>
      <c r="L1" s="171"/>
      <c r="M1" s="171"/>
      <c r="N1" s="171"/>
      <c r="O1" s="172"/>
      <c r="P1" s="172"/>
      <c r="Q1" s="173"/>
    </row>
    <row r="2" spans="1:17" ht="39.75" customHeight="1" x14ac:dyDescent="0.25">
      <c r="A2" s="81"/>
      <c r="B2" s="82" t="s">
        <v>58</v>
      </c>
      <c r="C2" s="82" t="s">
        <v>59</v>
      </c>
      <c r="D2" s="82" t="s">
        <v>72</v>
      </c>
      <c r="E2" s="82" t="s">
        <v>73</v>
      </c>
      <c r="F2" s="82" t="s">
        <v>57</v>
      </c>
      <c r="G2" s="82" t="s">
        <v>43</v>
      </c>
      <c r="H2" s="82" t="s">
        <v>42</v>
      </c>
      <c r="I2" s="81" t="s">
        <v>41</v>
      </c>
      <c r="K2" s="174" t="s">
        <v>152</v>
      </c>
      <c r="L2" s="175" t="s">
        <v>6</v>
      </c>
      <c r="M2" s="175" t="s">
        <v>53</v>
      </c>
      <c r="N2" s="175" t="s">
        <v>153</v>
      </c>
      <c r="O2" s="175" t="s">
        <v>154</v>
      </c>
      <c r="P2" s="175" t="s">
        <v>155</v>
      </c>
      <c r="Q2" s="176" t="s">
        <v>156</v>
      </c>
    </row>
    <row r="3" spans="1:17" x14ac:dyDescent="0.25">
      <c r="A3" s="104" t="s">
        <v>60</v>
      </c>
      <c r="B3" s="105"/>
      <c r="C3" s="105"/>
      <c r="D3" s="105"/>
      <c r="E3" s="105"/>
      <c r="F3" s="106"/>
      <c r="G3" s="106"/>
      <c r="H3" s="106"/>
      <c r="I3" s="106"/>
      <c r="K3" s="177"/>
      <c r="L3" s="178"/>
      <c r="M3" s="178"/>
      <c r="N3" s="179"/>
      <c r="O3" s="179"/>
      <c r="P3" s="179"/>
      <c r="Q3" s="180"/>
    </row>
    <row r="4" spans="1:17" x14ac:dyDescent="0.25">
      <c r="A4" s="101" t="s">
        <v>56</v>
      </c>
      <c r="B4" s="102">
        <v>45680300</v>
      </c>
      <c r="C4" s="102">
        <v>47950300</v>
      </c>
      <c r="D4" s="102">
        <v>49730000</v>
      </c>
      <c r="E4" s="102">
        <v>51490600</v>
      </c>
      <c r="F4" s="103">
        <f>SUM(B4:E4)</f>
        <v>194851200</v>
      </c>
      <c r="G4" s="103">
        <f>SUMIFS(Bérköltség!$N$6:$N$175,Bérköltség!$G$6:$G$175,$A4,Bérköltség!$F$6:$F$175,"Tény")</f>
        <v>9288174</v>
      </c>
      <c r="H4" s="103">
        <f>SUMIFS(Bérköltség!$N$6:$N$175,Bérköltség!$G$6:$G$175,$A4,Bérköltség!$F$6:$F$175,"Köt. váll.")</f>
        <v>40460432</v>
      </c>
      <c r="I4" s="103">
        <f>F4-G4-H4</f>
        <v>145102594</v>
      </c>
      <c r="K4" s="181" t="s">
        <v>44</v>
      </c>
      <c r="L4" s="182" t="s">
        <v>83</v>
      </c>
      <c r="M4" s="183">
        <v>255994536</v>
      </c>
      <c r="N4" s="184">
        <f>SUMIFS(Bérköltség!$N$6:$N$175,Bérköltség!$C$6:$C$175,$L4,Bérköltség!$F$6:$F$175,"Tény")+SUMIFS(Bérköltség!$O$6:$O$175,Bérköltség!$C$6:$C$175,$L4,Bérköltség!$F$6:$F$175,"Tény")+SUMIFS(Dologi_felhalm.!$I$8:$I$24,Dologi_felhalm.!$K$8:$K$24,$L4,Dologi_felhalm.!$J$8:$J$24,"Tény")</f>
        <v>8381210</v>
      </c>
      <c r="O4" s="184">
        <f>M4-N4</f>
        <v>247613326</v>
      </c>
      <c r="P4" s="184">
        <f>SUMIFS(Bérköltség!$N$6:$N$175,Bérköltség!$C$6:$C$175,$L4,Bérköltség!$F$6:$F$175,"Köt. váll.")+SUMIFS(Bérköltség!$O$6:$O$175,Bérköltség!$C$6:$C$175,$L4,Bérköltség!$F$6:$F$175,"Köt. váll.")+SUMIFS(Dologi_felhalm.!$I$8:$I$24,Dologi_felhalm.!$K$8:$K$24,$L4,Dologi_felhalm.!$J$8:$J$24,"Köt. váll.")</f>
        <v>44005632</v>
      </c>
      <c r="Q4" s="185">
        <f>O4-P4</f>
        <v>203607694</v>
      </c>
    </row>
    <row r="5" spans="1:17" x14ac:dyDescent="0.25">
      <c r="A5" s="101" t="s">
        <v>134</v>
      </c>
      <c r="B5" s="102">
        <v>2460700</v>
      </c>
      <c r="C5" s="102">
        <v>2580120</v>
      </c>
      <c r="D5" s="102">
        <v>2860150</v>
      </c>
      <c r="E5" s="102">
        <v>3204500</v>
      </c>
      <c r="F5" s="103">
        <f t="shared" ref="F5:F18" si="0">SUM(B5:E5)</f>
        <v>11105470</v>
      </c>
      <c r="G5" s="103">
        <f>SUMIFS(Bérköltség!$N$6:$N$175,Bérköltség!$G$6:$G$175,$A5,Bérköltség!$F$6:$F$175,"Tény")</f>
        <v>0</v>
      </c>
      <c r="H5" s="103">
        <f>SUMIFS(Bérköltség!$N$6:$N$175,Bérköltség!$G$6:$G$175,$A5,Bérköltség!$F$6:$F$175,"Köt. váll.")</f>
        <v>0</v>
      </c>
      <c r="I5" s="103">
        <f t="shared" ref="I5:I18" si="1">F5-G5-H5</f>
        <v>11105470</v>
      </c>
      <c r="K5" s="181" t="s">
        <v>14</v>
      </c>
      <c r="L5" s="182" t="s">
        <v>84</v>
      </c>
      <c r="M5" s="183">
        <v>63998634</v>
      </c>
      <c r="N5" s="184">
        <f>SUMIFS(Bérköltség!$N$6:$N$175,Bérköltség!$C$6:$C$175,$L5,Bérköltség!$F$6:$F$175,"Tény")+SUMIFS(Bérköltség!$O$6:$O$175,Bérköltség!$C$6:$C$175,$L5,Bérköltség!$F$6:$F$175,"Tény")+SUMIFS(Dologi_felhalm.!$I$8:$I$24,Dologi_felhalm.!$K$8:$K$24,$L5,Dologi_felhalm.!$J$8:$J$24,"Tény")</f>
        <v>2084268</v>
      </c>
      <c r="O5" s="184">
        <f t="shared" ref="O5" si="2">M5-N5</f>
        <v>61914366</v>
      </c>
      <c r="P5" s="184">
        <f>SUMIFS(Bérköltség!$N$6:$N$175,Bérköltség!$C$6:$C$175,$L5,Bérköltség!$F$6:$F$175,"Köt. váll.")+SUMIFS(Bérköltség!$O$6:$O$175,Bérköltség!$C$6:$C$175,$L5,Bérköltség!$F$6:$F$175,"Köt. váll.")+SUMIFS(Dologi_felhalm.!$I$8:$I$24,Dologi_felhalm.!$K$8:$K$24,$L5,Dologi_felhalm.!$J$8:$J$24,"Köt. váll.")</f>
        <v>1714656</v>
      </c>
      <c r="Q5" s="185">
        <f t="shared" ref="Q5" si="3">O5-P5</f>
        <v>60199710</v>
      </c>
    </row>
    <row r="6" spans="1:17" ht="15.75" thickBot="1" x14ac:dyDescent="0.3">
      <c r="A6" s="145" t="s">
        <v>78</v>
      </c>
      <c r="B6" s="146">
        <f>SUM(B4:B5)</f>
        <v>48141000</v>
      </c>
      <c r="C6" s="146">
        <f t="shared" ref="C6:H6" si="4">SUM(C4:C5)</f>
        <v>50530420</v>
      </c>
      <c r="D6" s="146">
        <f t="shared" si="4"/>
        <v>52590150</v>
      </c>
      <c r="E6" s="146">
        <f t="shared" si="4"/>
        <v>54695100</v>
      </c>
      <c r="F6" s="146">
        <f t="shared" si="0"/>
        <v>205956670</v>
      </c>
      <c r="G6" s="146">
        <f t="shared" si="4"/>
        <v>9288174</v>
      </c>
      <c r="H6" s="146">
        <f t="shared" si="4"/>
        <v>40460432</v>
      </c>
      <c r="I6" s="146">
        <f t="shared" si="1"/>
        <v>156208064</v>
      </c>
      <c r="K6" s="192" t="s">
        <v>157</v>
      </c>
      <c r="L6" s="191"/>
      <c r="M6" s="186">
        <f>SUM(M4:M5)</f>
        <v>319993170</v>
      </c>
      <c r="N6" s="186">
        <f>SUM(N4:N5)</f>
        <v>10465478</v>
      </c>
      <c r="O6" s="186">
        <f>SUM(O4:O5)</f>
        <v>309527692</v>
      </c>
      <c r="P6" s="186">
        <f>SUM(P4:P5)</f>
        <v>45720288</v>
      </c>
      <c r="Q6" s="186">
        <f>SUM(Q4:Q5)</f>
        <v>263807404</v>
      </c>
    </row>
    <row r="7" spans="1:17" x14ac:dyDescent="0.25">
      <c r="A7" s="101" t="s">
        <v>135</v>
      </c>
      <c r="B7" s="102">
        <v>6852045</v>
      </c>
      <c r="C7" s="102">
        <v>7192545</v>
      </c>
      <c r="D7" s="102">
        <v>7459500</v>
      </c>
      <c r="E7" s="102">
        <v>7723590</v>
      </c>
      <c r="F7" s="103">
        <f t="shared" si="0"/>
        <v>29227680</v>
      </c>
      <c r="G7" s="103">
        <f>SUMIFS(Bérköltség!$O$6:$O$175,Bérköltség!$F$6:$F$175,"Tény")</f>
        <v>1177304</v>
      </c>
      <c r="H7" s="103">
        <f>SUMIFS(Bérköltség!$O$6:$O$175,Bérköltség!$F$6:$F$175,"Köt. váll.")</f>
        <v>5259856</v>
      </c>
      <c r="I7" s="103">
        <f t="shared" si="1"/>
        <v>22790520</v>
      </c>
    </row>
    <row r="8" spans="1:17" x14ac:dyDescent="0.25">
      <c r="A8" s="145" t="s">
        <v>81</v>
      </c>
      <c r="B8" s="146">
        <f>B7+B6</f>
        <v>54993045</v>
      </c>
      <c r="C8" s="146">
        <f t="shared" ref="C8:H8" si="5">C7+C6</f>
        <v>57722965</v>
      </c>
      <c r="D8" s="146">
        <f t="shared" si="5"/>
        <v>60049650</v>
      </c>
      <c r="E8" s="146">
        <f t="shared" si="5"/>
        <v>62418690</v>
      </c>
      <c r="F8" s="146">
        <f t="shared" si="0"/>
        <v>235184350</v>
      </c>
      <c r="G8" s="146">
        <f t="shared" si="5"/>
        <v>10465478</v>
      </c>
      <c r="H8" s="146">
        <f t="shared" si="5"/>
        <v>45720288</v>
      </c>
      <c r="I8" s="146">
        <f t="shared" si="1"/>
        <v>178998584</v>
      </c>
    </row>
    <row r="9" spans="1:17" x14ac:dyDescent="0.25">
      <c r="A9" s="150" t="s">
        <v>55</v>
      </c>
      <c r="B9" s="151">
        <v>3417354</v>
      </c>
      <c r="C9" s="151">
        <v>2771764</v>
      </c>
      <c r="D9" s="151">
        <v>2063102</v>
      </c>
      <c r="E9" s="151">
        <v>1244646</v>
      </c>
      <c r="F9" s="152">
        <f t="shared" si="0"/>
        <v>9496866</v>
      </c>
      <c r="G9" s="152">
        <f>SUMIFS(Dologi_felhalm.!$G$8:$G$24,Dologi_felhalm.!$B$8:$B$24,$A9,Dologi_felhalm.!$J$8:$J$24,"Tény")</f>
        <v>0</v>
      </c>
      <c r="H9" s="152">
        <f>SUMIFS(Dologi_felhalm.!$G$8:$G$24,Dologi_felhalm.!$B$8:$B$24,$A9,Dologi_felhalm.!$J$8:$J$24,"Köt. váll.")</f>
        <v>0</v>
      </c>
      <c r="I9" s="152">
        <f t="shared" si="1"/>
        <v>9496866</v>
      </c>
    </row>
    <row r="10" spans="1:17" x14ac:dyDescent="0.25">
      <c r="A10" s="150" t="s">
        <v>141</v>
      </c>
      <c r="B10" s="164"/>
      <c r="C10" s="164"/>
      <c r="D10" s="164"/>
      <c r="E10" s="164"/>
      <c r="F10" s="165"/>
      <c r="G10" s="152">
        <f>SUMIFS(Dologi_felhalm.!$H$8:$H$24,Dologi_felhalm.!$B$8:$B$24,$A9,Dologi_felhalm.!$J$8:$J$24,"Tény")</f>
        <v>0</v>
      </c>
      <c r="H10" s="152">
        <f>SUMIFS(Dologi_felhalm.!$H$8:$H$24,Dologi_felhalm.!$B$8:$B$24,$A9,Dologi_felhalm.!$J$8:$J$24,"Köt. váll.")</f>
        <v>0</v>
      </c>
      <c r="I10" s="152">
        <f t="shared" si="1"/>
        <v>0</v>
      </c>
    </row>
    <row r="11" spans="1:17" x14ac:dyDescent="0.25">
      <c r="A11" s="150" t="s">
        <v>75</v>
      </c>
      <c r="B11" s="151">
        <v>3450600</v>
      </c>
      <c r="C11" s="151">
        <v>2180600</v>
      </c>
      <c r="D11" s="151">
        <v>1330200</v>
      </c>
      <c r="E11" s="151">
        <v>0</v>
      </c>
      <c r="F11" s="152">
        <f t="shared" si="0"/>
        <v>6961400</v>
      </c>
      <c r="G11" s="152">
        <f>SUMIFS(Dologi_felhalm.!$G$8:$G$24,Dologi_felhalm.!$B$8:$B$24,$A11,Dologi_felhalm.!$J$8:$J$24,"Tény")</f>
        <v>0</v>
      </c>
      <c r="H11" s="152">
        <f>SUMIFS(Dologi_felhalm.!$G$8:$G$24,Dologi_felhalm.!$B$8:$B$24,$A11,Dologi_felhalm.!$J$8:$J$24,"Köt. váll.")</f>
        <v>0</v>
      </c>
      <c r="I11" s="152">
        <f t="shared" si="1"/>
        <v>6961400</v>
      </c>
    </row>
    <row r="12" spans="1:17" x14ac:dyDescent="0.25">
      <c r="A12" s="150" t="s">
        <v>143</v>
      </c>
      <c r="B12" s="164"/>
      <c r="C12" s="164"/>
      <c r="D12" s="164"/>
      <c r="E12" s="164"/>
      <c r="F12" s="165"/>
      <c r="G12" s="152">
        <f>SUMIFS(Dologi_felhalm.!$H$8:$H$24,Dologi_felhalm.!$B$8:$B$24,$A11,Dologi_felhalm.!$J$8:$J$24,"Tény")</f>
        <v>0</v>
      </c>
      <c r="H12" s="152">
        <f>SUMIFS(Dologi_felhalm.!$H$8:$H$24,Dologi_felhalm.!$B$8:$B$24,$A11,Dologi_felhalm.!$J$8:$J$24,"Köt. váll.")</f>
        <v>0</v>
      </c>
      <c r="I12" s="152">
        <f t="shared" si="1"/>
        <v>0</v>
      </c>
    </row>
    <row r="13" spans="1:17" x14ac:dyDescent="0.25">
      <c r="A13" s="150" t="s">
        <v>142</v>
      </c>
      <c r="B13" s="151">
        <v>922686</v>
      </c>
      <c r="C13" s="151">
        <v>748376</v>
      </c>
      <c r="D13" s="151">
        <v>557038</v>
      </c>
      <c r="E13" s="151">
        <v>336054</v>
      </c>
      <c r="F13" s="152">
        <f t="shared" ref="F13" si="6">SUM(B13:E13)</f>
        <v>2564154</v>
      </c>
      <c r="G13" s="152">
        <f>G12+G10</f>
        <v>0</v>
      </c>
      <c r="H13" s="152">
        <f>H12+H10</f>
        <v>0</v>
      </c>
      <c r="I13" s="152">
        <f t="shared" si="1"/>
        <v>2564154</v>
      </c>
    </row>
    <row r="14" spans="1:17" x14ac:dyDescent="0.25">
      <c r="A14" s="145" t="s">
        <v>79</v>
      </c>
      <c r="B14" s="146">
        <f>B9+B11+B13</f>
        <v>7790640</v>
      </c>
      <c r="C14" s="146">
        <f t="shared" ref="C14:H14" si="7">C9+C11+C13</f>
        <v>5700740</v>
      </c>
      <c r="D14" s="146">
        <f t="shared" si="7"/>
        <v>3950340</v>
      </c>
      <c r="E14" s="146">
        <f t="shared" si="7"/>
        <v>1580700</v>
      </c>
      <c r="F14" s="146">
        <f t="shared" si="7"/>
        <v>19022420</v>
      </c>
      <c r="G14" s="146">
        <f t="shared" si="7"/>
        <v>0</v>
      </c>
      <c r="H14" s="146">
        <f t="shared" si="7"/>
        <v>0</v>
      </c>
      <c r="I14" s="146">
        <f t="shared" si="1"/>
        <v>19022420</v>
      </c>
    </row>
    <row r="15" spans="1:17" x14ac:dyDescent="0.25">
      <c r="A15" s="107" t="s">
        <v>136</v>
      </c>
      <c r="B15" s="108">
        <v>957480</v>
      </c>
      <c r="C15" s="108">
        <v>449134</v>
      </c>
      <c r="D15" s="108">
        <v>0</v>
      </c>
      <c r="E15" s="108">
        <v>0</v>
      </c>
      <c r="F15" s="109">
        <f t="shared" si="0"/>
        <v>1406614</v>
      </c>
      <c r="G15" s="109">
        <f>SUMIFS(Dologi_felhalm.!$G$8:$G$24,Dologi_felhalm.!$B$8:$B$24,$A15,Dologi_felhalm.!$J$8:$J$24,"Tény")</f>
        <v>0</v>
      </c>
      <c r="H15" s="109">
        <f>SUMIFS(Dologi_felhalm.!$G$8:$G$24,Dologi_felhalm.!$B$8:$B$24,$A15,Dologi_felhalm.!$J$8:$J$24,"Köt. váll.")</f>
        <v>0</v>
      </c>
      <c r="I15" s="109">
        <f t="shared" si="1"/>
        <v>1406614</v>
      </c>
    </row>
    <row r="16" spans="1:17" x14ac:dyDescent="0.25">
      <c r="A16" s="107" t="s">
        <v>76</v>
      </c>
      <c r="B16" s="108">
        <v>258520</v>
      </c>
      <c r="C16" s="108">
        <v>121266</v>
      </c>
      <c r="D16" s="108">
        <v>0</v>
      </c>
      <c r="E16" s="108">
        <v>0</v>
      </c>
      <c r="F16" s="109">
        <f t="shared" si="0"/>
        <v>379786</v>
      </c>
      <c r="G16" s="109">
        <f>SUMIFS(Dologi_felhalm.!$H$8:$H$24,Dologi_felhalm.!$B$8:$B$24,$A15,Dologi_felhalm.!$J$8:$J$24,"Tény")</f>
        <v>0</v>
      </c>
      <c r="H16" s="109">
        <f>SUMIFS(Dologi_felhalm.!$H$8:$H$24,Dologi_felhalm.!$B$8:$B$24,$A15,Dologi_felhalm.!$J$8:$J$24,"Köt. váll.")</f>
        <v>0</v>
      </c>
      <c r="I16" s="109">
        <f t="shared" si="1"/>
        <v>379786</v>
      </c>
    </row>
    <row r="17" spans="1:9" x14ac:dyDescent="0.25">
      <c r="A17" s="145" t="s">
        <v>80</v>
      </c>
      <c r="B17" s="146">
        <f>SUM(B15:B16)</f>
        <v>1216000</v>
      </c>
      <c r="C17" s="146">
        <f t="shared" ref="C17:E17" si="8">SUM(C15:C16)</f>
        <v>570400</v>
      </c>
      <c r="D17" s="146">
        <f t="shared" si="8"/>
        <v>0</v>
      </c>
      <c r="E17" s="146">
        <f t="shared" si="8"/>
        <v>0</v>
      </c>
      <c r="F17" s="146">
        <f t="shared" si="0"/>
        <v>1786400</v>
      </c>
      <c r="G17" s="146"/>
      <c r="H17" s="146"/>
      <c r="I17" s="146">
        <f t="shared" si="1"/>
        <v>1786400</v>
      </c>
    </row>
    <row r="18" spans="1:9" x14ac:dyDescent="0.25">
      <c r="A18" s="141" t="s">
        <v>77</v>
      </c>
      <c r="B18" s="142">
        <v>16000000</v>
      </c>
      <c r="C18" s="142">
        <v>16000000</v>
      </c>
      <c r="D18" s="142">
        <v>16000000</v>
      </c>
      <c r="E18" s="142">
        <v>16000000</v>
      </c>
      <c r="F18" s="143">
        <f t="shared" si="0"/>
        <v>64000000</v>
      </c>
      <c r="G18" s="143">
        <f>SUMIFS(Dologi_felhalm.!$G$8:$G$24,Dologi_felhalm.!$B$8:$B$24,$A18,Dologi_felhalm.!$J$8:$J$24,"Tény")</f>
        <v>0</v>
      </c>
      <c r="H18" s="143">
        <f>SUMIFS(Dologi_felhalm.!$G$8:$G$24,Dologi_felhalm.!$B$8:$B$24,$A18,Dologi_felhalm.!$J$8:$J$24,"Köt. váll.")</f>
        <v>0</v>
      </c>
      <c r="I18" s="143">
        <f t="shared" si="1"/>
        <v>64000000</v>
      </c>
    </row>
    <row r="19" spans="1:9" x14ac:dyDescent="0.25">
      <c r="A19" s="147"/>
      <c r="B19" s="148"/>
      <c r="C19" s="148"/>
      <c r="D19" s="148"/>
      <c r="E19" s="148"/>
      <c r="F19" s="149"/>
      <c r="G19" s="149"/>
      <c r="H19" s="149"/>
      <c r="I19" s="149"/>
    </row>
    <row r="20" spans="1:9" ht="15.75" x14ac:dyDescent="0.25">
      <c r="A20" s="166" t="s">
        <v>45</v>
      </c>
      <c r="B20" s="167">
        <f>B18+B17+B14+B8</f>
        <v>79999685</v>
      </c>
      <c r="C20" s="167">
        <f t="shared" ref="C20:I20" si="9">C18+C17+C14+C8</f>
        <v>79994105</v>
      </c>
      <c r="D20" s="167">
        <f t="shared" si="9"/>
        <v>79999990</v>
      </c>
      <c r="E20" s="167">
        <f t="shared" si="9"/>
        <v>79999390</v>
      </c>
      <c r="F20" s="167">
        <f t="shared" si="9"/>
        <v>319993170</v>
      </c>
      <c r="G20" s="167">
        <f t="shared" si="9"/>
        <v>10465478</v>
      </c>
      <c r="H20" s="167">
        <f t="shared" si="9"/>
        <v>45720288</v>
      </c>
      <c r="I20" s="167">
        <f t="shared" si="9"/>
        <v>263807404</v>
      </c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8CADBC1C-932F-40F4-86AA-2FEB02ACA73B}"/>
    </customSheetView>
  </customSheetViews>
  <phoneticPr fontId="4" type="noConversion"/>
  <pageMargins left="0.7" right="0.7" top="0.75" bottom="0.75" header="0.3" footer="0.3"/>
  <pageSetup paperSize="9" scale="3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Y180"/>
  <sheetViews>
    <sheetView tabSelected="1" topLeftCell="E1" zoomScaleNormal="100" workbookViewId="0">
      <pane ySplit="5" topLeftCell="A132" activePane="bottomLeft" state="frozen"/>
      <selection activeCell="A1200" sqref="A1200"/>
      <selection pane="bottomLeft" activeCell="V151" sqref="V151"/>
    </sheetView>
  </sheetViews>
  <sheetFormatPr defaultRowHeight="15" x14ac:dyDescent="0.25"/>
  <cols>
    <col min="1" max="1" width="33.7109375" customWidth="1"/>
    <col min="2" max="2" width="17.42578125" customWidth="1"/>
    <col min="3" max="3" width="16.5703125" customWidth="1"/>
    <col min="4" max="4" width="15.42578125" customWidth="1"/>
    <col min="5" max="5" width="16.7109375" style="15" customWidth="1"/>
    <col min="6" max="7" width="13.7109375" customWidth="1"/>
    <col min="8" max="8" width="10" customWidth="1"/>
    <col min="9" max="10" width="11.85546875" style="1" customWidth="1"/>
    <col min="11" max="11" width="11.140625" style="15" customWidth="1"/>
    <col min="12" max="13" width="11" style="53" customWidth="1"/>
    <col min="14" max="14" width="13" style="3" customWidth="1"/>
    <col min="15" max="15" width="13.28515625" style="3" customWidth="1"/>
    <col min="16" max="16" width="12.140625" style="37" customWidth="1"/>
    <col min="17" max="17" width="9.85546875" customWidth="1"/>
    <col min="18" max="18" width="12.42578125" customWidth="1"/>
    <col min="19" max="19" width="16.42578125" style="15" customWidth="1"/>
    <col min="20" max="20" width="10.5703125" style="68" customWidth="1"/>
    <col min="21" max="21" width="10.5703125" style="15" customWidth="1"/>
    <col min="22" max="22" width="15" style="1" customWidth="1"/>
    <col min="23" max="23" width="12.140625" customWidth="1"/>
    <col min="24" max="24" width="11.140625" customWidth="1"/>
    <col min="25" max="25" width="10.85546875" customWidth="1"/>
  </cols>
  <sheetData>
    <row r="1" spans="1:25" x14ac:dyDescent="0.25">
      <c r="A1" t="s">
        <v>231</v>
      </c>
      <c r="C1" t="s">
        <v>255</v>
      </c>
      <c r="D1" t="s">
        <v>233</v>
      </c>
      <c r="E1" s="15" t="s">
        <v>256</v>
      </c>
      <c r="N1" s="3" t="s">
        <v>15</v>
      </c>
      <c r="O1" s="3" t="s">
        <v>229</v>
      </c>
      <c r="V1" s="1" t="s">
        <v>257</v>
      </c>
    </row>
    <row r="2" spans="1:25" ht="30" customHeight="1" x14ac:dyDescent="0.25">
      <c r="A2" s="204" t="s">
        <v>71</v>
      </c>
      <c r="B2" s="204"/>
      <c r="C2" s="204"/>
      <c r="D2" s="204"/>
      <c r="E2" s="204"/>
      <c r="F2" s="118"/>
      <c r="G2" s="118"/>
      <c r="H2" s="26"/>
      <c r="I2" s="118"/>
      <c r="J2" s="90"/>
      <c r="K2" s="68"/>
      <c r="L2" s="91"/>
      <c r="M2" s="91"/>
      <c r="N2" s="119"/>
      <c r="O2" s="119"/>
      <c r="P2" s="92"/>
      <c r="Q2" s="9"/>
      <c r="R2" s="9"/>
      <c r="S2" s="68"/>
      <c r="U2" s="68"/>
      <c r="V2" s="89"/>
      <c r="W2" s="24" t="e">
        <f>IF(VLOOKUP($R2,'Havi béradatok'!$B:$E,2,FALSE)=D2,"EGYEZIK","HIBÁS")</f>
        <v>#N/A</v>
      </c>
      <c r="X2" s="197" t="e">
        <f>VLOOKUP($R2,'Havi béradatok'!$B:$E,3,FALSE)-I2</f>
        <v>#N/A</v>
      </c>
      <c r="Y2" s="198" t="e">
        <f>VLOOKUP($R2,'Havi béradatok'!$B:$E,4,FALSE)-J2</f>
        <v>#N/A</v>
      </c>
    </row>
    <row r="3" spans="1:25" ht="15" customHeight="1" x14ac:dyDescent="0.25">
      <c r="A3" s="4" t="s">
        <v>0</v>
      </c>
      <c r="B3" s="4"/>
      <c r="C3" s="4"/>
      <c r="D3" s="4"/>
      <c r="E3" s="46"/>
      <c r="F3" s="54"/>
      <c r="G3" s="144"/>
      <c r="H3" s="38" t="s">
        <v>18</v>
      </c>
      <c r="I3" s="93"/>
      <c r="J3" s="94"/>
      <c r="K3" s="51" t="s">
        <v>23</v>
      </c>
      <c r="L3" s="51" t="s">
        <v>28</v>
      </c>
      <c r="M3" s="94" t="s">
        <v>145</v>
      </c>
      <c r="N3" s="41"/>
      <c r="O3" s="41"/>
      <c r="P3" s="51" t="s">
        <v>1</v>
      </c>
      <c r="Q3" s="95"/>
      <c r="R3" s="95"/>
      <c r="S3" s="69" t="s">
        <v>38</v>
      </c>
      <c r="T3" s="69" t="s">
        <v>17</v>
      </c>
      <c r="U3" s="115"/>
      <c r="V3" s="96"/>
      <c r="W3" s="193"/>
      <c r="X3" s="193"/>
      <c r="Y3" s="193"/>
    </row>
    <row r="4" spans="1:25" ht="24.75" customHeight="1" x14ac:dyDescent="0.25">
      <c r="A4" s="5" t="s">
        <v>7</v>
      </c>
      <c r="B4" s="5" t="s">
        <v>64</v>
      </c>
      <c r="C4" s="47" t="s">
        <v>13</v>
      </c>
      <c r="D4" s="47" t="s">
        <v>13</v>
      </c>
      <c r="E4" s="47" t="s">
        <v>3</v>
      </c>
      <c r="F4" s="47" t="s">
        <v>8</v>
      </c>
      <c r="G4" s="39" t="s">
        <v>62</v>
      </c>
      <c r="H4" s="39" t="s">
        <v>19</v>
      </c>
      <c r="I4" s="97" t="s">
        <v>21</v>
      </c>
      <c r="J4" s="44" t="s">
        <v>16</v>
      </c>
      <c r="K4" s="44" t="s">
        <v>24</v>
      </c>
      <c r="L4" s="7" t="s">
        <v>26</v>
      </c>
      <c r="M4" s="7" t="s">
        <v>146</v>
      </c>
      <c r="N4" s="11" t="s">
        <v>26</v>
      </c>
      <c r="O4" s="11" t="s">
        <v>26</v>
      </c>
      <c r="P4" s="11" t="s">
        <v>47</v>
      </c>
      <c r="Q4" s="70" t="s">
        <v>46</v>
      </c>
      <c r="R4" s="70" t="s">
        <v>158</v>
      </c>
      <c r="S4" s="70" t="s">
        <v>34</v>
      </c>
      <c r="T4" s="70" t="s">
        <v>35</v>
      </c>
      <c r="U4" s="115"/>
      <c r="V4" s="96"/>
      <c r="W4" s="194" t="s">
        <v>6</v>
      </c>
      <c r="X4" s="194" t="s">
        <v>15</v>
      </c>
      <c r="Y4" s="194" t="s">
        <v>229</v>
      </c>
    </row>
    <row r="5" spans="1:25" ht="18.75" customHeight="1" x14ac:dyDescent="0.25">
      <c r="A5" s="6" t="s">
        <v>31</v>
      </c>
      <c r="B5" s="6" t="s">
        <v>65</v>
      </c>
      <c r="C5" s="48" t="s">
        <v>33</v>
      </c>
      <c r="D5" s="6" t="s">
        <v>36</v>
      </c>
      <c r="E5" s="48" t="s">
        <v>32</v>
      </c>
      <c r="F5" s="48" t="s">
        <v>9</v>
      </c>
      <c r="G5" s="40" t="s">
        <v>133</v>
      </c>
      <c r="H5" s="40" t="s">
        <v>20</v>
      </c>
      <c r="I5" s="98" t="s">
        <v>22</v>
      </c>
      <c r="J5" s="45" t="s">
        <v>68</v>
      </c>
      <c r="K5" s="45" t="s">
        <v>25</v>
      </c>
      <c r="L5" s="8" t="s">
        <v>25</v>
      </c>
      <c r="M5" s="8" t="s">
        <v>29</v>
      </c>
      <c r="N5" s="8" t="s">
        <v>21</v>
      </c>
      <c r="O5" s="8" t="s">
        <v>27</v>
      </c>
      <c r="P5" s="52" t="s">
        <v>48</v>
      </c>
      <c r="Q5" s="71" t="s">
        <v>29</v>
      </c>
      <c r="R5" s="71" t="s">
        <v>159</v>
      </c>
      <c r="S5" s="71" t="s">
        <v>30</v>
      </c>
      <c r="T5" s="71" t="s">
        <v>20</v>
      </c>
      <c r="U5" s="115" t="s">
        <v>66</v>
      </c>
      <c r="V5" s="99" t="s">
        <v>37</v>
      </c>
      <c r="W5" s="195" t="s">
        <v>230</v>
      </c>
      <c r="X5" s="195" t="s">
        <v>230</v>
      </c>
      <c r="Y5" s="195" t="s">
        <v>230</v>
      </c>
    </row>
    <row r="6" spans="1:25" s="9" customFormat="1" ht="14.45" customHeight="1" x14ac:dyDescent="0.25">
      <c r="A6" s="25"/>
      <c r="B6" s="25"/>
      <c r="C6" s="42"/>
      <c r="D6" s="42"/>
      <c r="E6" s="42"/>
      <c r="F6" s="56"/>
      <c r="G6" s="56" t="str">
        <f t="shared" ref="G6:G147" si="0">IF(H6="Napidíj","Nem rendszeres juttatás","Bérköltség")</f>
        <v>Bérköltség</v>
      </c>
      <c r="H6" s="25"/>
      <c r="I6" s="57"/>
      <c r="J6" s="57">
        <f t="shared" ref="J6" si="1">ROUND(I6*Q6,0)</f>
        <v>0</v>
      </c>
      <c r="K6" s="58"/>
      <c r="L6" s="58"/>
      <c r="M6" s="168" t="e">
        <f t="shared" ref="M6" si="2">L6/K6</f>
        <v>#DIV/0!</v>
      </c>
      <c r="N6" s="88"/>
      <c r="O6" s="88"/>
      <c r="P6" s="100" t="e">
        <f t="shared" ref="P6:P7" si="3">L6/K6-N6/I6</f>
        <v>#DIV/0!</v>
      </c>
      <c r="Q6" s="60">
        <v>0.13</v>
      </c>
      <c r="R6" s="187"/>
      <c r="S6" s="67"/>
      <c r="T6" s="43"/>
      <c r="U6" s="89"/>
      <c r="V6" s="89"/>
    </row>
    <row r="7" spans="1:25" s="9" customFormat="1" ht="14.45" customHeight="1" x14ac:dyDescent="0.25">
      <c r="A7" s="25" t="s">
        <v>173</v>
      </c>
      <c r="B7" s="25" t="s">
        <v>150</v>
      </c>
      <c r="C7" s="42" t="s">
        <v>83</v>
      </c>
      <c r="D7" s="42" t="s">
        <v>63</v>
      </c>
      <c r="E7" s="169" t="s">
        <v>254</v>
      </c>
      <c r="F7" s="56" t="s">
        <v>8</v>
      </c>
      <c r="G7" s="56" t="str">
        <f t="shared" ref="G7:G13" si="4">IF(H7="Napidíj","Nem rendszeres juttatás","Bérköltség")</f>
        <v>Bérköltség</v>
      </c>
      <c r="H7" s="25" t="s">
        <v>15</v>
      </c>
      <c r="I7" s="57">
        <v>144000</v>
      </c>
      <c r="J7" s="57">
        <f>ROUND(I7*Q7,0)</f>
        <v>18720</v>
      </c>
      <c r="K7" s="58">
        <v>130</v>
      </c>
      <c r="L7" s="58">
        <v>130</v>
      </c>
      <c r="M7" s="168">
        <f>L7/K7</f>
        <v>1</v>
      </c>
      <c r="N7" s="88">
        <f>ROUND(I7*M7,0)</f>
        <v>144000</v>
      </c>
      <c r="O7" s="88">
        <f>ROUND(N7*Q7,0)</f>
        <v>18720</v>
      </c>
      <c r="P7" s="100">
        <f t="shared" si="3"/>
        <v>0</v>
      </c>
      <c r="Q7" s="60">
        <v>0.13</v>
      </c>
      <c r="R7" s="187" t="s">
        <v>174</v>
      </c>
      <c r="S7" s="67">
        <v>44951</v>
      </c>
      <c r="T7" s="43" t="s">
        <v>224</v>
      </c>
      <c r="U7" s="89"/>
      <c r="V7" s="89"/>
    </row>
    <row r="8" spans="1:25" s="9" customFormat="1" ht="14.45" customHeight="1" x14ac:dyDescent="0.25">
      <c r="A8" s="25" t="s">
        <v>173</v>
      </c>
      <c r="B8" s="25" t="s">
        <v>150</v>
      </c>
      <c r="C8" s="42" t="s">
        <v>83</v>
      </c>
      <c r="D8" s="42" t="s">
        <v>63</v>
      </c>
      <c r="E8" s="42" t="s">
        <v>88</v>
      </c>
      <c r="F8" s="56" t="s">
        <v>8</v>
      </c>
      <c r="G8" s="56" t="str">
        <f t="shared" si="4"/>
        <v>Bérköltség</v>
      </c>
      <c r="H8" s="25" t="s">
        <v>15</v>
      </c>
      <c r="I8" s="57">
        <v>240000</v>
      </c>
      <c r="J8" s="57">
        <v>1040</v>
      </c>
      <c r="K8" s="58">
        <v>130</v>
      </c>
      <c r="L8" s="58">
        <v>130</v>
      </c>
      <c r="M8" s="168">
        <f t="shared" ref="M8" si="5">L8/K8</f>
        <v>1</v>
      </c>
      <c r="N8" s="88">
        <f t="shared" ref="N8" si="6">ROUND(I8*M8,0)</f>
        <v>240000</v>
      </c>
      <c r="O8" s="88">
        <v>1040</v>
      </c>
      <c r="P8" s="100">
        <f t="shared" ref="P8" si="7">L8/K8-N8/I8</f>
        <v>0</v>
      </c>
      <c r="Q8" s="60">
        <v>0.13</v>
      </c>
      <c r="R8" s="187" t="s">
        <v>174</v>
      </c>
      <c r="S8" s="67">
        <v>44951</v>
      </c>
      <c r="T8" s="43" t="s">
        <v>224</v>
      </c>
      <c r="U8" s="89"/>
      <c r="V8" s="89"/>
      <c r="W8" s="9" t="str">
        <f>IF(VLOOKUP($R8,'Havi béradatok'!$B:$E,2,FALSE)=D8,"EGYEZIK","HIBÁS")</f>
        <v>EGYEZIK</v>
      </c>
      <c r="X8" s="9">
        <f>VLOOKUP($R8,'Havi béradatok'!$B:$E,3,FALSE)-I8</f>
        <v>0</v>
      </c>
      <c r="Y8" s="9">
        <f>VLOOKUP($R8,'Havi béradatok'!$B:$E,4,FALSE)-J8</f>
        <v>0</v>
      </c>
    </row>
    <row r="9" spans="1:25" s="9" customFormat="1" ht="14.45" customHeight="1" x14ac:dyDescent="0.25">
      <c r="A9" s="25" t="s">
        <v>173</v>
      </c>
      <c r="B9" s="25" t="s">
        <v>150</v>
      </c>
      <c r="C9" s="42" t="s">
        <v>83</v>
      </c>
      <c r="D9" s="42" t="s">
        <v>63</v>
      </c>
      <c r="E9" s="42" t="s">
        <v>89</v>
      </c>
      <c r="F9" s="56" t="s">
        <v>9</v>
      </c>
      <c r="G9" s="56" t="str">
        <f t="shared" si="4"/>
        <v>Bérköltség</v>
      </c>
      <c r="H9" s="25" t="s">
        <v>15</v>
      </c>
      <c r="I9" s="57">
        <v>240000</v>
      </c>
      <c r="J9" s="57">
        <f t="shared" ref="J9:J13" si="8">ROUND(I9*Q9,0)</f>
        <v>31200</v>
      </c>
      <c r="K9" s="58">
        <v>130</v>
      </c>
      <c r="L9" s="58">
        <v>130</v>
      </c>
      <c r="M9" s="168">
        <f t="shared" ref="M9:M13" si="9">L9/K9</f>
        <v>1</v>
      </c>
      <c r="N9" s="88">
        <f t="shared" ref="N9:N13" si="10">ROUND(I9*M9,0)</f>
        <v>240000</v>
      </c>
      <c r="O9" s="88">
        <f t="shared" ref="O9:O13" si="11">ROUND(N9*Q9,0)</f>
        <v>31200</v>
      </c>
      <c r="P9" s="100">
        <f t="shared" ref="P9:P13" si="12">L9/K9-N9/I9</f>
        <v>0</v>
      </c>
      <c r="Q9" s="60">
        <v>0.13</v>
      </c>
      <c r="R9" s="187" t="s">
        <v>174</v>
      </c>
      <c r="S9" s="67">
        <v>44951</v>
      </c>
      <c r="T9" s="43" t="s">
        <v>224</v>
      </c>
      <c r="U9" s="89"/>
      <c r="V9" s="89"/>
    </row>
    <row r="10" spans="1:25" s="9" customFormat="1" ht="14.45" customHeight="1" x14ac:dyDescent="0.25">
      <c r="A10" s="25" t="s">
        <v>173</v>
      </c>
      <c r="B10" s="25" t="s">
        <v>150</v>
      </c>
      <c r="C10" s="42" t="s">
        <v>83</v>
      </c>
      <c r="D10" s="42" t="s">
        <v>63</v>
      </c>
      <c r="E10" s="42" t="s">
        <v>90</v>
      </c>
      <c r="F10" s="56" t="s">
        <v>9</v>
      </c>
      <c r="G10" s="56" t="str">
        <f t="shared" si="4"/>
        <v>Bérköltség</v>
      </c>
      <c r="H10" s="25" t="s">
        <v>15</v>
      </c>
      <c r="I10" s="57">
        <v>240000</v>
      </c>
      <c r="J10" s="57">
        <f t="shared" si="8"/>
        <v>31200</v>
      </c>
      <c r="K10" s="58">
        <v>130</v>
      </c>
      <c r="L10" s="58">
        <v>130</v>
      </c>
      <c r="M10" s="168">
        <f t="shared" si="9"/>
        <v>1</v>
      </c>
      <c r="N10" s="88">
        <f t="shared" si="10"/>
        <v>240000</v>
      </c>
      <c r="O10" s="88">
        <f t="shared" si="11"/>
        <v>31200</v>
      </c>
      <c r="P10" s="100">
        <f t="shared" si="12"/>
        <v>0</v>
      </c>
      <c r="Q10" s="60">
        <v>0.13</v>
      </c>
      <c r="R10" s="187" t="s">
        <v>174</v>
      </c>
      <c r="S10" s="67">
        <v>44951</v>
      </c>
      <c r="T10" s="43" t="s">
        <v>224</v>
      </c>
      <c r="U10" s="89"/>
      <c r="V10" s="89"/>
    </row>
    <row r="11" spans="1:25" s="9" customFormat="1" ht="14.45" customHeight="1" x14ac:dyDescent="0.25">
      <c r="A11" s="25" t="s">
        <v>173</v>
      </c>
      <c r="B11" s="25" t="s">
        <v>150</v>
      </c>
      <c r="C11" s="42" t="s">
        <v>83</v>
      </c>
      <c r="D11" s="42" t="s">
        <v>63</v>
      </c>
      <c r="E11" s="42" t="s">
        <v>91</v>
      </c>
      <c r="F11" s="56" t="s">
        <v>9</v>
      </c>
      <c r="G11" s="56" t="str">
        <f t="shared" si="4"/>
        <v>Bérköltség</v>
      </c>
      <c r="H11" s="25" t="s">
        <v>15</v>
      </c>
      <c r="I11" s="57">
        <v>240000</v>
      </c>
      <c r="J11" s="57">
        <f t="shared" si="8"/>
        <v>31200</v>
      </c>
      <c r="K11" s="58">
        <v>130</v>
      </c>
      <c r="L11" s="58">
        <v>130</v>
      </c>
      <c r="M11" s="168">
        <f t="shared" si="9"/>
        <v>1</v>
      </c>
      <c r="N11" s="88">
        <f t="shared" si="10"/>
        <v>240000</v>
      </c>
      <c r="O11" s="88">
        <f t="shared" si="11"/>
        <v>31200</v>
      </c>
      <c r="P11" s="100">
        <f t="shared" si="12"/>
        <v>0</v>
      </c>
      <c r="Q11" s="60">
        <v>0.13</v>
      </c>
      <c r="R11" s="187" t="s">
        <v>174</v>
      </c>
      <c r="S11" s="67">
        <v>44951</v>
      </c>
      <c r="T11" s="43" t="s">
        <v>224</v>
      </c>
      <c r="U11" s="89"/>
      <c r="V11" s="89"/>
    </row>
    <row r="12" spans="1:25" s="9" customFormat="1" ht="14.45" customHeight="1" x14ac:dyDescent="0.25">
      <c r="A12" s="25" t="s">
        <v>173</v>
      </c>
      <c r="B12" s="25" t="s">
        <v>150</v>
      </c>
      <c r="C12" s="42" t="s">
        <v>83</v>
      </c>
      <c r="D12" s="42" t="s">
        <v>63</v>
      </c>
      <c r="E12" s="42" t="s">
        <v>92</v>
      </c>
      <c r="F12" s="56" t="s">
        <v>9</v>
      </c>
      <c r="G12" s="56" t="str">
        <f t="shared" si="4"/>
        <v>Bérköltség</v>
      </c>
      <c r="H12" s="25" t="s">
        <v>15</v>
      </c>
      <c r="I12" s="57">
        <v>240000</v>
      </c>
      <c r="J12" s="57">
        <f t="shared" si="8"/>
        <v>31200</v>
      </c>
      <c r="K12" s="58">
        <v>130</v>
      </c>
      <c r="L12" s="58">
        <v>130</v>
      </c>
      <c r="M12" s="168">
        <f t="shared" si="9"/>
        <v>1</v>
      </c>
      <c r="N12" s="88">
        <f t="shared" si="10"/>
        <v>240000</v>
      </c>
      <c r="O12" s="88">
        <f t="shared" si="11"/>
        <v>31200</v>
      </c>
      <c r="P12" s="100">
        <f t="shared" si="12"/>
        <v>0</v>
      </c>
      <c r="Q12" s="60">
        <v>0.13</v>
      </c>
      <c r="R12" s="187" t="s">
        <v>174</v>
      </c>
      <c r="S12" s="67">
        <v>44951</v>
      </c>
      <c r="T12" s="43" t="s">
        <v>224</v>
      </c>
      <c r="U12" s="89"/>
      <c r="V12" s="89"/>
    </row>
    <row r="13" spans="1:25" s="9" customFormat="1" ht="14.45" customHeight="1" x14ac:dyDescent="0.25">
      <c r="A13" s="25" t="s">
        <v>173</v>
      </c>
      <c r="B13" s="25" t="s">
        <v>150</v>
      </c>
      <c r="C13" s="42" t="s">
        <v>83</v>
      </c>
      <c r="D13" s="42" t="s">
        <v>63</v>
      </c>
      <c r="E13" s="42" t="s">
        <v>93</v>
      </c>
      <c r="F13" s="56" t="s">
        <v>9</v>
      </c>
      <c r="G13" s="56" t="str">
        <f t="shared" si="4"/>
        <v>Bérköltség</v>
      </c>
      <c r="H13" s="25" t="s">
        <v>15</v>
      </c>
      <c r="I13" s="57">
        <v>240000</v>
      </c>
      <c r="J13" s="57">
        <f t="shared" si="8"/>
        <v>31200</v>
      </c>
      <c r="K13" s="58">
        <v>130</v>
      </c>
      <c r="L13" s="58">
        <v>130</v>
      </c>
      <c r="M13" s="168">
        <f t="shared" si="9"/>
        <v>1</v>
      </c>
      <c r="N13" s="88">
        <f t="shared" si="10"/>
        <v>240000</v>
      </c>
      <c r="O13" s="88">
        <f t="shared" si="11"/>
        <v>31200</v>
      </c>
      <c r="P13" s="100">
        <f t="shared" si="12"/>
        <v>0</v>
      </c>
      <c r="Q13" s="60">
        <v>0.13</v>
      </c>
      <c r="R13" s="187" t="s">
        <v>174</v>
      </c>
      <c r="S13" s="67">
        <v>44951</v>
      </c>
      <c r="T13" s="43" t="s">
        <v>224</v>
      </c>
      <c r="U13" s="89"/>
      <c r="V13" s="89"/>
    </row>
    <row r="14" spans="1:25" s="9" customFormat="1" ht="14.45" customHeight="1" x14ac:dyDescent="0.25">
      <c r="A14" s="25" t="s">
        <v>144</v>
      </c>
      <c r="B14" s="25" t="s">
        <v>150</v>
      </c>
      <c r="C14" s="42" t="s">
        <v>83</v>
      </c>
      <c r="D14" s="42" t="s">
        <v>63</v>
      </c>
      <c r="E14" s="169" t="s">
        <v>254</v>
      </c>
      <c r="F14" s="56" t="s">
        <v>8</v>
      </c>
      <c r="G14" s="56" t="str">
        <f t="shared" si="0"/>
        <v>Bérköltség</v>
      </c>
      <c r="H14" s="25" t="s">
        <v>15</v>
      </c>
      <c r="I14" s="57">
        <v>144000</v>
      </c>
      <c r="J14" s="57">
        <f>ROUND(I14*Q14,0)</f>
        <v>18720</v>
      </c>
      <c r="K14" s="58">
        <v>87</v>
      </c>
      <c r="L14" s="58">
        <v>87</v>
      </c>
      <c r="M14" s="168">
        <f>L14/K14</f>
        <v>1</v>
      </c>
      <c r="N14" s="88">
        <f>ROUND(I14*M14,0)</f>
        <v>144000</v>
      </c>
      <c r="O14" s="88">
        <f>ROUND(N14*Q14,0)</f>
        <v>18720</v>
      </c>
      <c r="P14" s="100">
        <f t="shared" ref="P14" si="13">L14/K14-N14/I14</f>
        <v>0</v>
      </c>
      <c r="Q14" s="60">
        <v>0.13</v>
      </c>
      <c r="R14" s="187" t="s">
        <v>160</v>
      </c>
      <c r="S14" s="67"/>
      <c r="T14" s="43" t="s">
        <v>224</v>
      </c>
      <c r="U14" s="89"/>
      <c r="V14" s="89"/>
    </row>
    <row r="15" spans="1:25" s="9" customFormat="1" ht="14.45" customHeight="1" x14ac:dyDescent="0.25">
      <c r="A15" s="25" t="s">
        <v>144</v>
      </c>
      <c r="B15" s="25" t="s">
        <v>150</v>
      </c>
      <c r="C15" s="42" t="s">
        <v>83</v>
      </c>
      <c r="D15" s="42" t="s">
        <v>63</v>
      </c>
      <c r="E15" s="42" t="s">
        <v>88</v>
      </c>
      <c r="F15" s="56" t="s">
        <v>8</v>
      </c>
      <c r="G15" s="56" t="str">
        <f t="shared" si="0"/>
        <v>Bérköltség</v>
      </c>
      <c r="H15" s="25" t="s">
        <v>15</v>
      </c>
      <c r="I15" s="57">
        <v>240000</v>
      </c>
      <c r="J15" s="57">
        <f t="shared" ref="J15:J23" si="14">ROUND(I15*Q15,0)</f>
        <v>31200</v>
      </c>
      <c r="K15" s="58">
        <v>87</v>
      </c>
      <c r="L15" s="58">
        <v>87</v>
      </c>
      <c r="M15" s="168">
        <f t="shared" ref="M15:M23" si="15">L15/K15</f>
        <v>1</v>
      </c>
      <c r="N15" s="88">
        <f t="shared" ref="N15:N23" si="16">ROUND(I15*M15,0)</f>
        <v>240000</v>
      </c>
      <c r="O15" s="88">
        <f t="shared" ref="O15:O28" si="17">ROUND(N15*Q15,0)</f>
        <v>31200</v>
      </c>
      <c r="P15" s="100">
        <f t="shared" ref="P15:P23" si="18">L15/K15-N15/I15</f>
        <v>0</v>
      </c>
      <c r="Q15" s="60">
        <v>0.13</v>
      </c>
      <c r="R15" s="187" t="s">
        <v>160</v>
      </c>
      <c r="S15" s="67"/>
      <c r="T15" s="43" t="s">
        <v>224</v>
      </c>
      <c r="U15" s="89"/>
      <c r="V15" s="89"/>
      <c r="W15" s="9" t="str">
        <f>IF(VLOOKUP($R15,'Havi béradatok'!$B:$E,2,FALSE)=D15,"EGYEZIK","HIBÁS")</f>
        <v>EGYEZIK</v>
      </c>
      <c r="X15" s="9">
        <f>VLOOKUP($R15,'Havi béradatok'!$B:$E,3,FALSE)-I15</f>
        <v>0</v>
      </c>
      <c r="Y15" s="9">
        <f>VLOOKUP($R15,'Havi béradatok'!$B:$E,4,FALSE)-J15</f>
        <v>0</v>
      </c>
    </row>
    <row r="16" spans="1:25" s="9" customFormat="1" ht="14.45" customHeight="1" x14ac:dyDescent="0.25">
      <c r="A16" s="25" t="s">
        <v>144</v>
      </c>
      <c r="B16" s="25" t="s">
        <v>150</v>
      </c>
      <c r="C16" s="42" t="s">
        <v>83</v>
      </c>
      <c r="D16" s="42" t="s">
        <v>63</v>
      </c>
      <c r="E16" s="42" t="s">
        <v>89</v>
      </c>
      <c r="F16" s="56" t="s">
        <v>9</v>
      </c>
      <c r="G16" s="56" t="str">
        <f t="shared" si="0"/>
        <v>Bérköltség</v>
      </c>
      <c r="H16" s="25" t="s">
        <v>15</v>
      </c>
      <c r="I16" s="57">
        <v>240000</v>
      </c>
      <c r="J16" s="57">
        <f t="shared" si="14"/>
        <v>31200</v>
      </c>
      <c r="K16" s="58">
        <v>87</v>
      </c>
      <c r="L16" s="58">
        <v>87</v>
      </c>
      <c r="M16" s="168">
        <f t="shared" si="15"/>
        <v>1</v>
      </c>
      <c r="N16" s="88">
        <f t="shared" si="16"/>
        <v>240000</v>
      </c>
      <c r="O16" s="88">
        <f t="shared" si="17"/>
        <v>31200</v>
      </c>
      <c r="P16" s="100">
        <f t="shared" si="18"/>
        <v>0</v>
      </c>
      <c r="Q16" s="60">
        <v>0.13</v>
      </c>
      <c r="R16" s="187" t="s">
        <v>160</v>
      </c>
      <c r="S16" s="67"/>
      <c r="T16" s="43" t="s">
        <v>224</v>
      </c>
      <c r="U16" s="89"/>
      <c r="V16" s="89"/>
    </row>
    <row r="17" spans="1:25" s="9" customFormat="1" ht="14.45" customHeight="1" x14ac:dyDescent="0.25">
      <c r="A17" s="25" t="s">
        <v>144</v>
      </c>
      <c r="B17" s="25" t="s">
        <v>150</v>
      </c>
      <c r="C17" s="42" t="s">
        <v>83</v>
      </c>
      <c r="D17" s="42" t="s">
        <v>63</v>
      </c>
      <c r="E17" s="42" t="s">
        <v>90</v>
      </c>
      <c r="F17" s="56" t="s">
        <v>9</v>
      </c>
      <c r="G17" s="56" t="str">
        <f t="shared" si="0"/>
        <v>Bérköltség</v>
      </c>
      <c r="H17" s="25" t="s">
        <v>15</v>
      </c>
      <c r="I17" s="57">
        <v>240000</v>
      </c>
      <c r="J17" s="57">
        <f t="shared" si="14"/>
        <v>31200</v>
      </c>
      <c r="K17" s="58">
        <v>87</v>
      </c>
      <c r="L17" s="58">
        <v>87</v>
      </c>
      <c r="M17" s="168">
        <f t="shared" si="15"/>
        <v>1</v>
      </c>
      <c r="N17" s="88">
        <f t="shared" si="16"/>
        <v>240000</v>
      </c>
      <c r="O17" s="88">
        <f t="shared" si="17"/>
        <v>31200</v>
      </c>
      <c r="P17" s="100">
        <f t="shared" si="18"/>
        <v>0</v>
      </c>
      <c r="Q17" s="60">
        <v>0.13</v>
      </c>
      <c r="R17" s="187" t="s">
        <v>160</v>
      </c>
      <c r="S17" s="67"/>
      <c r="T17" s="43" t="s">
        <v>224</v>
      </c>
      <c r="U17" s="89"/>
      <c r="V17" s="89"/>
    </row>
    <row r="18" spans="1:25" s="9" customFormat="1" ht="14.45" customHeight="1" x14ac:dyDescent="0.25">
      <c r="A18" s="25" t="s">
        <v>144</v>
      </c>
      <c r="B18" s="25" t="s">
        <v>150</v>
      </c>
      <c r="C18" s="42" t="s">
        <v>83</v>
      </c>
      <c r="D18" s="42" t="s">
        <v>63</v>
      </c>
      <c r="E18" s="42" t="s">
        <v>91</v>
      </c>
      <c r="F18" s="56" t="s">
        <v>9</v>
      </c>
      <c r="G18" s="56" t="str">
        <f t="shared" si="0"/>
        <v>Bérköltség</v>
      </c>
      <c r="H18" s="25" t="s">
        <v>15</v>
      </c>
      <c r="I18" s="57">
        <v>240000</v>
      </c>
      <c r="J18" s="57">
        <f t="shared" si="14"/>
        <v>31200</v>
      </c>
      <c r="K18" s="58">
        <v>87</v>
      </c>
      <c r="L18" s="58">
        <v>87</v>
      </c>
      <c r="M18" s="168">
        <f t="shared" si="15"/>
        <v>1</v>
      </c>
      <c r="N18" s="88">
        <f t="shared" si="16"/>
        <v>240000</v>
      </c>
      <c r="O18" s="88">
        <f t="shared" si="17"/>
        <v>31200</v>
      </c>
      <c r="P18" s="100">
        <f t="shared" si="18"/>
        <v>0</v>
      </c>
      <c r="Q18" s="60">
        <v>0.13</v>
      </c>
      <c r="R18" s="187" t="s">
        <v>160</v>
      </c>
      <c r="S18" s="67"/>
      <c r="T18" s="43" t="s">
        <v>224</v>
      </c>
      <c r="U18" s="89"/>
      <c r="V18" s="89"/>
    </row>
    <row r="19" spans="1:25" s="9" customFormat="1" ht="14.45" customHeight="1" x14ac:dyDescent="0.25">
      <c r="A19" s="25" t="s">
        <v>144</v>
      </c>
      <c r="B19" s="25" t="s">
        <v>150</v>
      </c>
      <c r="C19" s="42" t="s">
        <v>83</v>
      </c>
      <c r="D19" s="42" t="s">
        <v>63</v>
      </c>
      <c r="E19" s="42" t="s">
        <v>92</v>
      </c>
      <c r="F19" s="56" t="s">
        <v>9</v>
      </c>
      <c r="G19" s="56" t="str">
        <f t="shared" si="0"/>
        <v>Bérköltség</v>
      </c>
      <c r="H19" s="25" t="s">
        <v>15</v>
      </c>
      <c r="I19" s="57">
        <v>240000</v>
      </c>
      <c r="J19" s="57">
        <f t="shared" si="14"/>
        <v>31200</v>
      </c>
      <c r="K19" s="58">
        <v>87</v>
      </c>
      <c r="L19" s="58">
        <v>87</v>
      </c>
      <c r="M19" s="168">
        <f t="shared" si="15"/>
        <v>1</v>
      </c>
      <c r="N19" s="88">
        <f t="shared" si="16"/>
        <v>240000</v>
      </c>
      <c r="O19" s="88">
        <f t="shared" si="17"/>
        <v>31200</v>
      </c>
      <c r="P19" s="100">
        <f t="shared" si="18"/>
        <v>0</v>
      </c>
      <c r="Q19" s="60">
        <v>0.13</v>
      </c>
      <c r="R19" s="187" t="s">
        <v>160</v>
      </c>
      <c r="S19" s="67"/>
      <c r="T19" s="43" t="s">
        <v>224</v>
      </c>
      <c r="U19" s="89"/>
      <c r="V19" s="89"/>
    </row>
    <row r="20" spans="1:25" s="9" customFormat="1" ht="14.45" customHeight="1" x14ac:dyDescent="0.25">
      <c r="A20" s="25" t="s">
        <v>144</v>
      </c>
      <c r="B20" s="25" t="s">
        <v>150</v>
      </c>
      <c r="C20" s="42" t="s">
        <v>83</v>
      </c>
      <c r="D20" s="42" t="s">
        <v>63</v>
      </c>
      <c r="E20" s="42" t="s">
        <v>93</v>
      </c>
      <c r="F20" s="56" t="s">
        <v>9</v>
      </c>
      <c r="G20" s="56" t="str">
        <f t="shared" si="0"/>
        <v>Bérköltség</v>
      </c>
      <c r="H20" s="25" t="s">
        <v>15</v>
      </c>
      <c r="I20" s="57">
        <v>240000</v>
      </c>
      <c r="J20" s="57">
        <f t="shared" si="14"/>
        <v>31200</v>
      </c>
      <c r="K20" s="58">
        <v>87</v>
      </c>
      <c r="L20" s="58">
        <v>87</v>
      </c>
      <c r="M20" s="168">
        <f t="shared" si="15"/>
        <v>1</v>
      </c>
      <c r="N20" s="88">
        <f t="shared" si="16"/>
        <v>240000</v>
      </c>
      <c r="O20" s="88">
        <f t="shared" si="17"/>
        <v>31200</v>
      </c>
      <c r="P20" s="100">
        <f t="shared" si="18"/>
        <v>0</v>
      </c>
      <c r="Q20" s="60">
        <v>0.13</v>
      </c>
      <c r="R20" s="187" t="s">
        <v>160</v>
      </c>
      <c r="S20" s="67"/>
      <c r="T20" s="43" t="s">
        <v>224</v>
      </c>
      <c r="U20" s="89"/>
      <c r="V20" s="89"/>
    </row>
    <row r="21" spans="1:25" s="9" customFormat="1" ht="14.45" customHeight="1" x14ac:dyDescent="0.25">
      <c r="A21" s="25" t="s">
        <v>144</v>
      </c>
      <c r="B21" s="25" t="s">
        <v>150</v>
      </c>
      <c r="C21" s="42" t="s">
        <v>83</v>
      </c>
      <c r="D21" s="42" t="s">
        <v>63</v>
      </c>
      <c r="E21" s="42" t="s">
        <v>94</v>
      </c>
      <c r="F21" s="56" t="s">
        <v>9</v>
      </c>
      <c r="G21" s="56" t="str">
        <f t="shared" si="0"/>
        <v>Bérköltség</v>
      </c>
      <c r="H21" s="25" t="s">
        <v>15</v>
      </c>
      <c r="I21" s="57">
        <v>240000</v>
      </c>
      <c r="J21" s="57">
        <f t="shared" si="14"/>
        <v>31200</v>
      </c>
      <c r="K21" s="58">
        <v>87</v>
      </c>
      <c r="L21" s="58">
        <v>87</v>
      </c>
      <c r="M21" s="168">
        <f t="shared" si="15"/>
        <v>1</v>
      </c>
      <c r="N21" s="88">
        <f t="shared" si="16"/>
        <v>240000</v>
      </c>
      <c r="O21" s="88">
        <f t="shared" si="17"/>
        <v>31200</v>
      </c>
      <c r="P21" s="100">
        <f t="shared" si="18"/>
        <v>0</v>
      </c>
      <c r="Q21" s="60">
        <v>0.13</v>
      </c>
      <c r="R21" s="187" t="s">
        <v>160</v>
      </c>
      <c r="S21" s="67"/>
      <c r="T21" s="43" t="s">
        <v>224</v>
      </c>
      <c r="U21" s="89"/>
      <c r="V21" s="89"/>
    </row>
    <row r="22" spans="1:25" s="9" customFormat="1" ht="14.45" customHeight="1" x14ac:dyDescent="0.25">
      <c r="A22" s="25" t="s">
        <v>144</v>
      </c>
      <c r="B22" s="25" t="s">
        <v>150</v>
      </c>
      <c r="C22" s="42" t="s">
        <v>83</v>
      </c>
      <c r="D22" s="42" t="s">
        <v>63</v>
      </c>
      <c r="E22" s="42" t="s">
        <v>95</v>
      </c>
      <c r="F22" s="56" t="s">
        <v>9</v>
      </c>
      <c r="G22" s="56" t="str">
        <f t="shared" si="0"/>
        <v>Bérköltség</v>
      </c>
      <c r="H22" s="25" t="s">
        <v>15</v>
      </c>
      <c r="I22" s="57">
        <v>240000</v>
      </c>
      <c r="J22" s="57">
        <f t="shared" si="14"/>
        <v>31200</v>
      </c>
      <c r="K22" s="58">
        <v>87</v>
      </c>
      <c r="L22" s="58">
        <v>87</v>
      </c>
      <c r="M22" s="168">
        <f t="shared" si="15"/>
        <v>1</v>
      </c>
      <c r="N22" s="88">
        <f t="shared" si="16"/>
        <v>240000</v>
      </c>
      <c r="O22" s="88">
        <f t="shared" si="17"/>
        <v>31200</v>
      </c>
      <c r="P22" s="100">
        <f t="shared" si="18"/>
        <v>0</v>
      </c>
      <c r="Q22" s="60">
        <v>0.13</v>
      </c>
      <c r="R22" s="187" t="s">
        <v>160</v>
      </c>
      <c r="S22" s="67"/>
      <c r="T22" s="43" t="s">
        <v>224</v>
      </c>
      <c r="U22" s="89"/>
      <c r="V22" s="89"/>
    </row>
    <row r="23" spans="1:25" s="9" customFormat="1" ht="14.45" customHeight="1" x14ac:dyDescent="0.25">
      <c r="A23" s="25" t="s">
        <v>144</v>
      </c>
      <c r="B23" s="25" t="s">
        <v>150</v>
      </c>
      <c r="C23" s="42" t="s">
        <v>83</v>
      </c>
      <c r="D23" s="42" t="s">
        <v>63</v>
      </c>
      <c r="E23" s="42" t="s">
        <v>96</v>
      </c>
      <c r="F23" s="56" t="s">
        <v>9</v>
      </c>
      <c r="G23" s="56" t="str">
        <f t="shared" si="0"/>
        <v>Bérköltség</v>
      </c>
      <c r="H23" s="25" t="s">
        <v>15</v>
      </c>
      <c r="I23" s="57">
        <v>240000</v>
      </c>
      <c r="J23" s="57">
        <f t="shared" si="14"/>
        <v>31200</v>
      </c>
      <c r="K23" s="58">
        <v>87</v>
      </c>
      <c r="L23" s="58">
        <v>87</v>
      </c>
      <c r="M23" s="168">
        <f t="shared" si="15"/>
        <v>1</v>
      </c>
      <c r="N23" s="88">
        <f t="shared" si="16"/>
        <v>240000</v>
      </c>
      <c r="O23" s="88">
        <f t="shared" si="17"/>
        <v>31200</v>
      </c>
      <c r="P23" s="100">
        <f t="shared" si="18"/>
        <v>0</v>
      </c>
      <c r="Q23" s="60">
        <v>0.13</v>
      </c>
      <c r="R23" s="187" t="s">
        <v>160</v>
      </c>
      <c r="S23" s="67"/>
      <c r="T23" s="43" t="s">
        <v>224</v>
      </c>
      <c r="U23" s="89"/>
      <c r="V23" s="89"/>
    </row>
    <row r="24" spans="1:25" s="9" customFormat="1" ht="14.45" customHeight="1" x14ac:dyDescent="0.25">
      <c r="A24" s="25" t="s">
        <v>225</v>
      </c>
      <c r="B24" s="25" t="s">
        <v>149</v>
      </c>
      <c r="C24" s="42" t="s">
        <v>83</v>
      </c>
      <c r="D24" s="42" t="s">
        <v>67</v>
      </c>
      <c r="E24" s="42" t="s">
        <v>88</v>
      </c>
      <c r="F24" s="56" t="s">
        <v>8</v>
      </c>
      <c r="G24" s="56" t="str">
        <f t="shared" ref="G24" si="19">IF(H24="Napidíj","Nem rendszeres juttatás","Bérköltség")</f>
        <v>Bérköltség</v>
      </c>
      <c r="H24" s="25" t="s">
        <v>15</v>
      </c>
      <c r="I24" s="57">
        <v>120000</v>
      </c>
      <c r="J24" s="57">
        <f t="shared" ref="J24" si="20">ROUND(I24*Q24,0)</f>
        <v>15600</v>
      </c>
      <c r="K24" s="58">
        <v>44</v>
      </c>
      <c r="L24" s="58">
        <v>44</v>
      </c>
      <c r="M24" s="168">
        <f t="shared" ref="M24" si="21">L24/K24</f>
        <v>1</v>
      </c>
      <c r="N24" s="88">
        <f t="shared" ref="N24" si="22">ROUND(I24*M24,0)</f>
        <v>120000</v>
      </c>
      <c r="O24" s="88">
        <f t="shared" ref="O24" si="23">ROUND(N24*Q24,0)</f>
        <v>15600</v>
      </c>
      <c r="P24" s="100">
        <f t="shared" ref="P24" si="24">L24/K24-N24/I24</f>
        <v>0</v>
      </c>
      <c r="Q24" s="60">
        <v>0.13</v>
      </c>
      <c r="R24" s="187" t="s">
        <v>226</v>
      </c>
      <c r="S24" s="67">
        <v>44963</v>
      </c>
      <c r="T24" s="43" t="s">
        <v>224</v>
      </c>
      <c r="U24" s="89"/>
      <c r="V24" s="89"/>
      <c r="W24" s="9" t="str">
        <f>IF(VLOOKUP($R24,'Havi béradatok'!$B:$E,2,FALSE)=D24,"EGYEZIK","HIBÁS")</f>
        <v>EGYEZIK</v>
      </c>
      <c r="X24" s="9">
        <f>VLOOKUP($R24,'Havi béradatok'!$B:$E,3,FALSE)-I24</f>
        <v>0</v>
      </c>
      <c r="Y24" s="9">
        <f>VLOOKUP($R24,'Havi béradatok'!$B:$E,4,FALSE)-J24</f>
        <v>0</v>
      </c>
    </row>
    <row r="25" spans="1:25" s="9" customFormat="1" ht="14.45" customHeight="1" x14ac:dyDescent="0.25">
      <c r="A25" s="25" t="s">
        <v>225</v>
      </c>
      <c r="B25" s="25" t="s">
        <v>149</v>
      </c>
      <c r="C25" s="42" t="s">
        <v>83</v>
      </c>
      <c r="D25" s="42" t="s">
        <v>67</v>
      </c>
      <c r="E25" s="42" t="s">
        <v>89</v>
      </c>
      <c r="F25" s="56" t="s">
        <v>9</v>
      </c>
      <c r="G25" s="56" t="str">
        <f t="shared" ref="G25:G26" si="25">IF(H25="Napidíj","Nem rendszeres juttatás","Bérköltség")</f>
        <v>Bérköltség</v>
      </c>
      <c r="H25" s="25" t="s">
        <v>15</v>
      </c>
      <c r="I25" s="57">
        <v>120000</v>
      </c>
      <c r="J25" s="57">
        <f t="shared" ref="J25:J26" si="26">ROUND(I25*Q25,0)</f>
        <v>15600</v>
      </c>
      <c r="K25" s="58">
        <v>44</v>
      </c>
      <c r="L25" s="58">
        <v>44</v>
      </c>
      <c r="M25" s="168">
        <f t="shared" ref="M25:M26" si="27">L25/K25</f>
        <v>1</v>
      </c>
      <c r="N25" s="88">
        <f t="shared" ref="N25:N26" si="28">ROUND(I25*M25,0)</f>
        <v>120000</v>
      </c>
      <c r="O25" s="88">
        <f t="shared" ref="O25:O26" si="29">ROUND(N25*Q25,0)</f>
        <v>15600</v>
      </c>
      <c r="P25" s="100">
        <f t="shared" ref="P25:P26" si="30">L25/K25-N25/I25</f>
        <v>0</v>
      </c>
      <c r="Q25" s="60">
        <v>0.13</v>
      </c>
      <c r="R25" s="187" t="s">
        <v>226</v>
      </c>
      <c r="S25" s="67">
        <v>44963</v>
      </c>
      <c r="T25" s="43" t="s">
        <v>224</v>
      </c>
      <c r="U25" s="89"/>
      <c r="V25" s="89"/>
    </row>
    <row r="26" spans="1:25" s="9" customFormat="1" ht="14.45" customHeight="1" x14ac:dyDescent="0.25">
      <c r="A26" s="25" t="s">
        <v>225</v>
      </c>
      <c r="B26" s="25" t="s">
        <v>149</v>
      </c>
      <c r="C26" s="42" t="s">
        <v>83</v>
      </c>
      <c r="D26" s="42" t="s">
        <v>67</v>
      </c>
      <c r="E26" s="42" t="s">
        <v>90</v>
      </c>
      <c r="F26" s="56" t="s">
        <v>9</v>
      </c>
      <c r="G26" s="56" t="str">
        <f t="shared" si="25"/>
        <v>Bérköltség</v>
      </c>
      <c r="H26" s="25" t="s">
        <v>15</v>
      </c>
      <c r="I26" s="57">
        <v>120000</v>
      </c>
      <c r="J26" s="57">
        <f t="shared" si="26"/>
        <v>15600</v>
      </c>
      <c r="K26" s="58">
        <v>44</v>
      </c>
      <c r="L26" s="58">
        <v>44</v>
      </c>
      <c r="M26" s="168">
        <f t="shared" si="27"/>
        <v>1</v>
      </c>
      <c r="N26" s="88">
        <f t="shared" si="28"/>
        <v>120000</v>
      </c>
      <c r="O26" s="88">
        <f t="shared" si="29"/>
        <v>15600</v>
      </c>
      <c r="P26" s="100">
        <f t="shared" si="30"/>
        <v>0</v>
      </c>
      <c r="Q26" s="60">
        <v>0.13</v>
      </c>
      <c r="R26" s="187" t="s">
        <v>226</v>
      </c>
      <c r="S26" s="67">
        <v>44963</v>
      </c>
      <c r="T26" s="43" t="s">
        <v>224</v>
      </c>
      <c r="U26" s="89"/>
      <c r="V26" s="89"/>
    </row>
    <row r="27" spans="1:25" s="9" customFormat="1" ht="14.45" customHeight="1" x14ac:dyDescent="0.25">
      <c r="A27" s="25" t="s">
        <v>225</v>
      </c>
      <c r="B27" s="25" t="s">
        <v>149</v>
      </c>
      <c r="C27" s="42" t="s">
        <v>83</v>
      </c>
      <c r="D27" s="42" t="s">
        <v>67</v>
      </c>
      <c r="E27" s="42" t="s">
        <v>91</v>
      </c>
      <c r="F27" s="56" t="s">
        <v>9</v>
      </c>
      <c r="G27" s="56" t="str">
        <f t="shared" ref="G27" si="31">IF(H27="Napidíj","Nem rendszeres juttatás","Bérköltség")</f>
        <v>Bérköltség</v>
      </c>
      <c r="H27" s="25" t="s">
        <v>15</v>
      </c>
      <c r="I27" s="57">
        <v>120000</v>
      </c>
      <c r="J27" s="57">
        <f t="shared" ref="J27" si="32">ROUND(I27*Q27,0)</f>
        <v>15600</v>
      </c>
      <c r="K27" s="58">
        <v>44</v>
      </c>
      <c r="L27" s="58">
        <v>44</v>
      </c>
      <c r="M27" s="168">
        <f t="shared" ref="M27" si="33">L27/K27</f>
        <v>1</v>
      </c>
      <c r="N27" s="88">
        <f t="shared" ref="N27" si="34">ROUND(I27*M27,0)</f>
        <v>120000</v>
      </c>
      <c r="O27" s="88">
        <f t="shared" ref="O27" si="35">ROUND(N27*Q27,0)</f>
        <v>15600</v>
      </c>
      <c r="P27" s="100">
        <f t="shared" ref="P27" si="36">L27/K27-N27/I27</f>
        <v>0</v>
      </c>
      <c r="Q27" s="60">
        <v>0.13</v>
      </c>
      <c r="R27" s="187" t="s">
        <v>226</v>
      </c>
      <c r="S27" s="67">
        <v>44963</v>
      </c>
      <c r="T27" s="43" t="s">
        <v>224</v>
      </c>
      <c r="U27" s="89"/>
      <c r="V27" s="89"/>
    </row>
    <row r="28" spans="1:25" s="9" customFormat="1" ht="14.45" customHeight="1" x14ac:dyDescent="0.25">
      <c r="A28" s="25" t="s">
        <v>50</v>
      </c>
      <c r="B28" s="25" t="s">
        <v>150</v>
      </c>
      <c r="C28" s="42" t="s">
        <v>84</v>
      </c>
      <c r="D28" s="42" t="s">
        <v>52</v>
      </c>
      <c r="E28" s="42" t="s">
        <v>86</v>
      </c>
      <c r="F28" s="56" t="s">
        <v>8</v>
      </c>
      <c r="G28" s="56" t="str">
        <f t="shared" si="0"/>
        <v>Bérköltség</v>
      </c>
      <c r="H28" s="25" t="s">
        <v>15</v>
      </c>
      <c r="I28" s="57">
        <v>599200</v>
      </c>
      <c r="J28" s="57">
        <f t="shared" ref="J28" si="37">ROUND(I28*Q28,0)</f>
        <v>77896</v>
      </c>
      <c r="K28" s="58">
        <v>174</v>
      </c>
      <c r="L28" s="58">
        <v>73</v>
      </c>
      <c r="M28" s="168">
        <f t="shared" ref="M28" si="38">L28/K28</f>
        <v>0.41954022988505746</v>
      </c>
      <c r="N28" s="88">
        <v>250000</v>
      </c>
      <c r="O28" s="88">
        <f t="shared" si="17"/>
        <v>32500</v>
      </c>
      <c r="P28" s="100">
        <f t="shared" ref="P28" si="39">L28/K28-N28/I28</f>
        <v>2.3172659331215373E-3</v>
      </c>
      <c r="Q28" s="60">
        <v>0.13</v>
      </c>
      <c r="R28" s="187" t="s">
        <v>161</v>
      </c>
      <c r="S28" s="67"/>
      <c r="T28" s="43" t="s">
        <v>224</v>
      </c>
      <c r="U28" s="89"/>
      <c r="V28" s="89"/>
      <c r="W28" s="9" t="s">
        <v>234</v>
      </c>
      <c r="X28" s="9">
        <v>0</v>
      </c>
      <c r="Y28" s="9">
        <v>0</v>
      </c>
    </row>
    <row r="29" spans="1:25" s="9" customFormat="1" ht="14.45" customHeight="1" x14ac:dyDescent="0.25">
      <c r="A29" s="25" t="s">
        <v>50</v>
      </c>
      <c r="B29" s="25" t="s">
        <v>150</v>
      </c>
      <c r="C29" s="42" t="s">
        <v>84</v>
      </c>
      <c r="D29" s="42" t="s">
        <v>52</v>
      </c>
      <c r="E29" s="42" t="s">
        <v>87</v>
      </c>
      <c r="F29" s="56" t="s">
        <v>8</v>
      </c>
      <c r="G29" s="56" t="str">
        <f t="shared" si="0"/>
        <v>Bérköltség</v>
      </c>
      <c r="H29" s="25" t="s">
        <v>15</v>
      </c>
      <c r="I29" s="57">
        <v>599200</v>
      </c>
      <c r="J29" s="57">
        <f t="shared" ref="J29:J33" si="40">ROUND(I29*Q29,0)</f>
        <v>77896</v>
      </c>
      <c r="K29" s="58">
        <v>174</v>
      </c>
      <c r="L29" s="58">
        <v>73</v>
      </c>
      <c r="M29" s="168">
        <f t="shared" ref="M29:M33" si="41">L29/K29</f>
        <v>0.41954022988505746</v>
      </c>
      <c r="N29" s="88">
        <v>250000</v>
      </c>
      <c r="O29" s="88">
        <f t="shared" ref="O29:O33" si="42">ROUND(N29*Q29,0)</f>
        <v>32500</v>
      </c>
      <c r="P29" s="100">
        <f t="shared" ref="P29:P76" si="43">L29/K29-N29/I29</f>
        <v>2.3172659331215373E-3</v>
      </c>
      <c r="Q29" s="60">
        <v>0.13</v>
      </c>
      <c r="R29" s="187" t="s">
        <v>161</v>
      </c>
      <c r="S29" s="67"/>
      <c r="T29" s="43" t="s">
        <v>224</v>
      </c>
      <c r="U29" s="89"/>
      <c r="V29" s="89"/>
      <c r="W29" s="9" t="str">
        <f>IF(VLOOKUP($R29,'Havi béradatok'!$B:$E,2,FALSE)=D29,"EGYEZIK","HIBÁS")</f>
        <v>EGYEZIK</v>
      </c>
      <c r="X29" s="9">
        <f>VLOOKUP($R29,'Havi béradatok'!$B:$E,3,FALSE)-I29</f>
        <v>0</v>
      </c>
      <c r="Y29" s="203">
        <f>VLOOKUP($R29,'Havi béradatok'!$B:$E,4,FALSE)-J29</f>
        <v>0</v>
      </c>
    </row>
    <row r="30" spans="1:25" s="9" customFormat="1" ht="14.45" customHeight="1" x14ac:dyDescent="0.25">
      <c r="A30" s="25" t="s">
        <v>50</v>
      </c>
      <c r="B30" s="25" t="s">
        <v>150</v>
      </c>
      <c r="C30" s="42" t="s">
        <v>84</v>
      </c>
      <c r="D30" s="42" t="s">
        <v>52</v>
      </c>
      <c r="E30" s="42" t="s">
        <v>88</v>
      </c>
      <c r="F30" s="56" t="s">
        <v>8</v>
      </c>
      <c r="G30" s="56" t="str">
        <f t="shared" si="0"/>
        <v>Bérköltség</v>
      </c>
      <c r="H30" s="25" t="s">
        <v>15</v>
      </c>
      <c r="I30" s="57">
        <v>599200</v>
      </c>
      <c r="J30" s="57">
        <f t="shared" si="40"/>
        <v>77896</v>
      </c>
      <c r="K30" s="58">
        <v>174</v>
      </c>
      <c r="L30" s="58">
        <v>73</v>
      </c>
      <c r="M30" s="168">
        <f t="shared" si="41"/>
        <v>0.41954022988505746</v>
      </c>
      <c r="N30" s="88">
        <v>250000</v>
      </c>
      <c r="O30" s="88">
        <f t="shared" si="42"/>
        <v>32500</v>
      </c>
      <c r="P30" s="100">
        <f t="shared" si="43"/>
        <v>2.3172659331215373E-3</v>
      </c>
      <c r="Q30" s="60">
        <v>0.13</v>
      </c>
      <c r="R30" s="187" t="s">
        <v>161</v>
      </c>
      <c r="S30" s="67"/>
      <c r="T30" s="43" t="s">
        <v>224</v>
      </c>
      <c r="U30" s="89"/>
      <c r="V30" s="89"/>
      <c r="W30" s="9" t="str">
        <f>IF(VLOOKUP($R30,'Havi béradatok'!$B:$E,2,FALSE)=D30,"EGYEZIK","HIBÁS")</f>
        <v>EGYEZIK</v>
      </c>
      <c r="X30" s="9">
        <f>VLOOKUP($R30,'Havi béradatok'!$B:$E,3,FALSE)-I30</f>
        <v>0</v>
      </c>
      <c r="Y30" s="9">
        <f>VLOOKUP($R30,'Havi béradatok'!$B:$E,4,FALSE)-J30</f>
        <v>0</v>
      </c>
    </row>
    <row r="31" spans="1:25" s="9" customFormat="1" ht="14.45" customHeight="1" x14ac:dyDescent="0.25">
      <c r="A31" s="25" t="s">
        <v>50</v>
      </c>
      <c r="B31" s="25" t="s">
        <v>150</v>
      </c>
      <c r="C31" s="42" t="s">
        <v>84</v>
      </c>
      <c r="D31" s="42" t="s">
        <v>52</v>
      </c>
      <c r="E31" s="42" t="s">
        <v>89</v>
      </c>
      <c r="F31" s="56" t="s">
        <v>9</v>
      </c>
      <c r="G31" s="56" t="str">
        <f t="shared" si="0"/>
        <v>Bérköltség</v>
      </c>
      <c r="H31" s="25" t="s">
        <v>15</v>
      </c>
      <c r="I31" s="57">
        <v>599200</v>
      </c>
      <c r="J31" s="57">
        <f t="shared" si="40"/>
        <v>77896</v>
      </c>
      <c r="K31" s="58">
        <v>174</v>
      </c>
      <c r="L31" s="58">
        <v>73</v>
      </c>
      <c r="M31" s="168">
        <f t="shared" si="41"/>
        <v>0.41954022988505746</v>
      </c>
      <c r="N31" s="88">
        <v>250000</v>
      </c>
      <c r="O31" s="88">
        <f t="shared" si="42"/>
        <v>32500</v>
      </c>
      <c r="P31" s="100">
        <f t="shared" si="43"/>
        <v>2.3172659331215373E-3</v>
      </c>
      <c r="Q31" s="60">
        <v>0.13</v>
      </c>
      <c r="R31" s="187" t="s">
        <v>161</v>
      </c>
      <c r="S31" s="67"/>
      <c r="T31" s="43" t="s">
        <v>224</v>
      </c>
      <c r="U31" s="89"/>
      <c r="V31" s="89"/>
    </row>
    <row r="32" spans="1:25" s="9" customFormat="1" ht="14.45" customHeight="1" x14ac:dyDescent="0.25">
      <c r="A32" s="25" t="s">
        <v>50</v>
      </c>
      <c r="B32" s="25" t="s">
        <v>150</v>
      </c>
      <c r="C32" s="42" t="s">
        <v>84</v>
      </c>
      <c r="D32" s="42" t="s">
        <v>52</v>
      </c>
      <c r="E32" s="42" t="s">
        <v>90</v>
      </c>
      <c r="F32" s="56" t="s">
        <v>9</v>
      </c>
      <c r="G32" s="56" t="str">
        <f t="shared" si="0"/>
        <v>Bérköltség</v>
      </c>
      <c r="H32" s="25" t="s">
        <v>15</v>
      </c>
      <c r="I32" s="57">
        <v>599200</v>
      </c>
      <c r="J32" s="57">
        <f t="shared" si="40"/>
        <v>77896</v>
      </c>
      <c r="K32" s="58">
        <v>174</v>
      </c>
      <c r="L32" s="58">
        <v>73</v>
      </c>
      <c r="M32" s="168">
        <f t="shared" si="41"/>
        <v>0.41954022988505746</v>
      </c>
      <c r="N32" s="88">
        <v>250000</v>
      </c>
      <c r="O32" s="88">
        <f t="shared" si="42"/>
        <v>32500</v>
      </c>
      <c r="P32" s="100">
        <f t="shared" si="43"/>
        <v>2.3172659331215373E-3</v>
      </c>
      <c r="Q32" s="60">
        <v>0.13</v>
      </c>
      <c r="R32" s="187" t="s">
        <v>161</v>
      </c>
      <c r="S32" s="67"/>
      <c r="T32" s="43" t="s">
        <v>224</v>
      </c>
      <c r="U32" s="89"/>
      <c r="V32" s="89"/>
    </row>
    <row r="33" spans="1:25" s="9" customFormat="1" ht="14.45" customHeight="1" x14ac:dyDescent="0.25">
      <c r="A33" s="25" t="s">
        <v>50</v>
      </c>
      <c r="B33" s="25" t="s">
        <v>150</v>
      </c>
      <c r="C33" s="42" t="s">
        <v>84</v>
      </c>
      <c r="D33" s="42" t="s">
        <v>52</v>
      </c>
      <c r="E33" s="42" t="s">
        <v>91</v>
      </c>
      <c r="F33" s="56" t="s">
        <v>9</v>
      </c>
      <c r="G33" s="56" t="str">
        <f t="shared" si="0"/>
        <v>Bérköltség</v>
      </c>
      <c r="H33" s="25" t="s">
        <v>15</v>
      </c>
      <c r="I33" s="57">
        <v>599200</v>
      </c>
      <c r="J33" s="57">
        <f t="shared" si="40"/>
        <v>77896</v>
      </c>
      <c r="K33" s="58">
        <v>174</v>
      </c>
      <c r="L33" s="58">
        <v>73</v>
      </c>
      <c r="M33" s="168">
        <f t="shared" si="41"/>
        <v>0.41954022988505746</v>
      </c>
      <c r="N33" s="88">
        <v>250000</v>
      </c>
      <c r="O33" s="88">
        <f t="shared" si="42"/>
        <v>32500</v>
      </c>
      <c r="P33" s="100">
        <f t="shared" si="43"/>
        <v>2.3172659331215373E-3</v>
      </c>
      <c r="Q33" s="60">
        <v>0.13</v>
      </c>
      <c r="R33" s="187" t="s">
        <v>161</v>
      </c>
      <c r="S33" s="67"/>
      <c r="T33" s="43" t="s">
        <v>224</v>
      </c>
      <c r="U33" s="89"/>
      <c r="V33" s="89"/>
    </row>
    <row r="34" spans="1:25" s="9" customFormat="1" ht="14.45" customHeight="1" x14ac:dyDescent="0.25">
      <c r="A34" s="25" t="s">
        <v>164</v>
      </c>
      <c r="B34" s="25" t="s">
        <v>149</v>
      </c>
      <c r="C34" s="42" t="s">
        <v>83</v>
      </c>
      <c r="D34" s="42" t="s">
        <v>165</v>
      </c>
      <c r="E34" s="42" t="s">
        <v>87</v>
      </c>
      <c r="F34" s="56" t="s">
        <v>8</v>
      </c>
      <c r="G34" s="56" t="str">
        <f t="shared" ref="G34" si="44">IF(H34="Napidíj","Nem rendszeres juttatás","Bérköltség")</f>
        <v>Bérköltség</v>
      </c>
      <c r="H34" s="25" t="s">
        <v>15</v>
      </c>
      <c r="I34" s="57">
        <v>120000</v>
      </c>
      <c r="J34" s="57">
        <f t="shared" ref="J34" si="45">ROUND(I34*Q34,0)</f>
        <v>15600</v>
      </c>
      <c r="K34" s="58">
        <v>44</v>
      </c>
      <c r="L34" s="58">
        <v>44</v>
      </c>
      <c r="M34" s="168">
        <f t="shared" ref="M34" si="46">L34/K34</f>
        <v>1</v>
      </c>
      <c r="N34" s="88">
        <f t="shared" ref="N34" si="47">ROUND(I34*M34,0)</f>
        <v>120000</v>
      </c>
      <c r="O34" s="88">
        <f t="shared" ref="O34" si="48">ROUND(N34*Q34,0)</f>
        <v>15600</v>
      </c>
      <c r="P34" s="100">
        <f t="shared" ref="P34" si="49">L34/K34-N34/I34</f>
        <v>0</v>
      </c>
      <c r="Q34" s="60">
        <v>0.13</v>
      </c>
      <c r="R34" s="187" t="s">
        <v>166</v>
      </c>
      <c r="S34" s="67">
        <v>44951</v>
      </c>
      <c r="T34" s="43" t="s">
        <v>224</v>
      </c>
      <c r="U34" s="89"/>
      <c r="V34" s="89"/>
      <c r="W34" s="9" t="str">
        <f>IF(VLOOKUP($R34,'Havi béradatok'!$B:$E,2,FALSE)=D34,"EGYEZIK","HIBÁS")</f>
        <v>EGYEZIK</v>
      </c>
      <c r="X34" s="9">
        <f>VLOOKUP($R34,'Havi béradatok'!$B:$E,3,FALSE)-I34</f>
        <v>0</v>
      </c>
      <c r="Y34" s="9">
        <f>VLOOKUP($R34,'Havi béradatok'!$B:$E,4,FALSE)-J34</f>
        <v>0</v>
      </c>
    </row>
    <row r="35" spans="1:25" s="9" customFormat="1" ht="14.45" customHeight="1" x14ac:dyDescent="0.25">
      <c r="A35" s="25" t="s">
        <v>164</v>
      </c>
      <c r="B35" s="25" t="s">
        <v>149</v>
      </c>
      <c r="C35" s="42" t="s">
        <v>83</v>
      </c>
      <c r="D35" s="42" t="s">
        <v>165</v>
      </c>
      <c r="E35" s="42" t="s">
        <v>88</v>
      </c>
      <c r="F35" s="56" t="s">
        <v>8</v>
      </c>
      <c r="G35" s="56" t="str">
        <f t="shared" ref="G35:G44" si="50">IF(H35="Napidíj","Nem rendszeres juttatás","Bérköltség")</f>
        <v>Bérköltség</v>
      </c>
      <c r="H35" s="25" t="s">
        <v>15</v>
      </c>
      <c r="I35" s="57">
        <v>120000</v>
      </c>
      <c r="J35" s="57">
        <f t="shared" ref="J35:J44" si="51">ROUND(I35*Q35,0)</f>
        <v>15600</v>
      </c>
      <c r="K35" s="58">
        <v>44</v>
      </c>
      <c r="L35" s="58">
        <v>44</v>
      </c>
      <c r="M35" s="168">
        <f t="shared" ref="M35:M44" si="52">L35/K35</f>
        <v>1</v>
      </c>
      <c r="N35" s="88">
        <f t="shared" ref="N35:N44" si="53">ROUND(I35*M35,0)</f>
        <v>120000</v>
      </c>
      <c r="O35" s="88">
        <f t="shared" ref="O35:O44" si="54">ROUND(N35*Q35,0)</f>
        <v>15600</v>
      </c>
      <c r="P35" s="100">
        <f t="shared" ref="P35:P44" si="55">L35/K35-N35/I35</f>
        <v>0</v>
      </c>
      <c r="Q35" s="60">
        <v>0.13</v>
      </c>
      <c r="R35" s="187" t="s">
        <v>166</v>
      </c>
      <c r="S35" s="67">
        <v>44951</v>
      </c>
      <c r="T35" s="43" t="s">
        <v>224</v>
      </c>
      <c r="U35" s="89"/>
      <c r="V35" s="89"/>
      <c r="W35" s="9" t="str">
        <f>IF(VLOOKUP($R35,'Havi béradatok'!$B:$E,2,FALSE)=D35,"EGYEZIK","HIBÁS")</f>
        <v>EGYEZIK</v>
      </c>
      <c r="X35" s="9">
        <f>VLOOKUP($R35,'Havi béradatok'!$B:$E,3,FALSE)-I35</f>
        <v>0</v>
      </c>
      <c r="Y35" s="9">
        <f>VLOOKUP($R35,'Havi béradatok'!$B:$E,4,FALSE)-J35</f>
        <v>0</v>
      </c>
    </row>
    <row r="36" spans="1:25" s="9" customFormat="1" ht="14.45" customHeight="1" x14ac:dyDescent="0.25">
      <c r="A36" s="25" t="s">
        <v>164</v>
      </c>
      <c r="B36" s="25" t="s">
        <v>149</v>
      </c>
      <c r="C36" s="42" t="s">
        <v>83</v>
      </c>
      <c r="D36" s="42" t="s">
        <v>165</v>
      </c>
      <c r="E36" s="42" t="s">
        <v>89</v>
      </c>
      <c r="F36" s="56" t="s">
        <v>9</v>
      </c>
      <c r="G36" s="56" t="str">
        <f t="shared" si="50"/>
        <v>Bérköltség</v>
      </c>
      <c r="H36" s="25" t="s">
        <v>15</v>
      </c>
      <c r="I36" s="57">
        <v>120000</v>
      </c>
      <c r="J36" s="57">
        <f t="shared" si="51"/>
        <v>15600</v>
      </c>
      <c r="K36" s="58">
        <v>44</v>
      </c>
      <c r="L36" s="58">
        <v>44</v>
      </c>
      <c r="M36" s="168">
        <f t="shared" si="52"/>
        <v>1</v>
      </c>
      <c r="N36" s="88">
        <f t="shared" si="53"/>
        <v>120000</v>
      </c>
      <c r="O36" s="88">
        <f t="shared" si="54"/>
        <v>15600</v>
      </c>
      <c r="P36" s="100">
        <f t="shared" si="55"/>
        <v>0</v>
      </c>
      <c r="Q36" s="60">
        <v>0.13</v>
      </c>
      <c r="R36" s="187" t="s">
        <v>166</v>
      </c>
      <c r="S36" s="67">
        <v>44951</v>
      </c>
      <c r="T36" s="43" t="s">
        <v>224</v>
      </c>
      <c r="U36" s="89"/>
      <c r="V36" s="89"/>
    </row>
    <row r="37" spans="1:25" s="9" customFormat="1" ht="14.45" customHeight="1" x14ac:dyDescent="0.25">
      <c r="A37" s="25" t="s">
        <v>164</v>
      </c>
      <c r="B37" s="25" t="s">
        <v>149</v>
      </c>
      <c r="C37" s="42" t="s">
        <v>83</v>
      </c>
      <c r="D37" s="42" t="s">
        <v>165</v>
      </c>
      <c r="E37" s="42" t="s">
        <v>90</v>
      </c>
      <c r="F37" s="56" t="s">
        <v>9</v>
      </c>
      <c r="G37" s="56" t="str">
        <f t="shared" si="50"/>
        <v>Bérköltség</v>
      </c>
      <c r="H37" s="25" t="s">
        <v>15</v>
      </c>
      <c r="I37" s="57">
        <v>120000</v>
      </c>
      <c r="J37" s="57">
        <f t="shared" si="51"/>
        <v>15600</v>
      </c>
      <c r="K37" s="58">
        <v>44</v>
      </c>
      <c r="L37" s="58">
        <v>44</v>
      </c>
      <c r="M37" s="168">
        <f t="shared" si="52"/>
        <v>1</v>
      </c>
      <c r="N37" s="88">
        <f t="shared" si="53"/>
        <v>120000</v>
      </c>
      <c r="O37" s="88">
        <f t="shared" si="54"/>
        <v>15600</v>
      </c>
      <c r="P37" s="100">
        <f t="shared" si="55"/>
        <v>0</v>
      </c>
      <c r="Q37" s="60">
        <v>0.13</v>
      </c>
      <c r="R37" s="187" t="s">
        <v>166</v>
      </c>
      <c r="S37" s="67">
        <v>44951</v>
      </c>
      <c r="T37" s="43" t="s">
        <v>224</v>
      </c>
      <c r="U37" s="89"/>
      <c r="V37" s="89"/>
    </row>
    <row r="38" spans="1:25" s="9" customFormat="1" ht="14.45" customHeight="1" x14ac:dyDescent="0.25">
      <c r="A38" s="25" t="s">
        <v>164</v>
      </c>
      <c r="B38" s="25" t="s">
        <v>149</v>
      </c>
      <c r="C38" s="42" t="s">
        <v>83</v>
      </c>
      <c r="D38" s="42" t="s">
        <v>165</v>
      </c>
      <c r="E38" s="42" t="s">
        <v>91</v>
      </c>
      <c r="F38" s="56" t="s">
        <v>9</v>
      </c>
      <c r="G38" s="56" t="str">
        <f t="shared" si="50"/>
        <v>Bérköltség</v>
      </c>
      <c r="H38" s="25" t="s">
        <v>15</v>
      </c>
      <c r="I38" s="57">
        <v>120000</v>
      </c>
      <c r="J38" s="57">
        <f t="shared" si="51"/>
        <v>15600</v>
      </c>
      <c r="K38" s="58">
        <v>44</v>
      </c>
      <c r="L38" s="58">
        <v>44</v>
      </c>
      <c r="M38" s="168">
        <f t="shared" si="52"/>
        <v>1</v>
      </c>
      <c r="N38" s="88">
        <f t="shared" si="53"/>
        <v>120000</v>
      </c>
      <c r="O38" s="88">
        <f t="shared" si="54"/>
        <v>15600</v>
      </c>
      <c r="P38" s="100">
        <f t="shared" si="55"/>
        <v>0</v>
      </c>
      <c r="Q38" s="60">
        <v>0.13</v>
      </c>
      <c r="R38" s="187" t="s">
        <v>166</v>
      </c>
      <c r="S38" s="67">
        <v>44951</v>
      </c>
      <c r="T38" s="43" t="s">
        <v>224</v>
      </c>
      <c r="U38" s="89"/>
      <c r="V38" s="89"/>
    </row>
    <row r="39" spans="1:25" s="9" customFormat="1" ht="14.45" customHeight="1" x14ac:dyDescent="0.25">
      <c r="A39" s="25" t="s">
        <v>164</v>
      </c>
      <c r="B39" s="25" t="s">
        <v>149</v>
      </c>
      <c r="C39" s="42" t="s">
        <v>83</v>
      </c>
      <c r="D39" s="42" t="s">
        <v>165</v>
      </c>
      <c r="E39" s="42" t="s">
        <v>92</v>
      </c>
      <c r="F39" s="56" t="s">
        <v>9</v>
      </c>
      <c r="G39" s="56" t="str">
        <f t="shared" si="50"/>
        <v>Bérköltség</v>
      </c>
      <c r="H39" s="25" t="s">
        <v>15</v>
      </c>
      <c r="I39" s="57">
        <v>120000</v>
      </c>
      <c r="J39" s="57">
        <f t="shared" si="51"/>
        <v>15600</v>
      </c>
      <c r="K39" s="58">
        <v>44</v>
      </c>
      <c r="L39" s="58">
        <v>44</v>
      </c>
      <c r="M39" s="168">
        <f t="shared" si="52"/>
        <v>1</v>
      </c>
      <c r="N39" s="88">
        <f t="shared" si="53"/>
        <v>120000</v>
      </c>
      <c r="O39" s="88">
        <f t="shared" si="54"/>
        <v>15600</v>
      </c>
      <c r="P39" s="100">
        <f t="shared" si="55"/>
        <v>0</v>
      </c>
      <c r="Q39" s="60">
        <v>0.13</v>
      </c>
      <c r="R39" s="187" t="s">
        <v>166</v>
      </c>
      <c r="S39" s="67">
        <v>44951</v>
      </c>
      <c r="T39" s="43" t="s">
        <v>224</v>
      </c>
      <c r="U39" s="89"/>
      <c r="V39" s="89"/>
    </row>
    <row r="40" spans="1:25" s="9" customFormat="1" ht="14.45" customHeight="1" x14ac:dyDescent="0.25">
      <c r="A40" s="25" t="s">
        <v>164</v>
      </c>
      <c r="B40" s="25" t="s">
        <v>149</v>
      </c>
      <c r="C40" s="42" t="s">
        <v>83</v>
      </c>
      <c r="D40" s="42" t="s">
        <v>165</v>
      </c>
      <c r="E40" s="42" t="s">
        <v>93</v>
      </c>
      <c r="F40" s="56" t="s">
        <v>9</v>
      </c>
      <c r="G40" s="56" t="str">
        <f t="shared" si="50"/>
        <v>Bérköltség</v>
      </c>
      <c r="H40" s="25" t="s">
        <v>15</v>
      </c>
      <c r="I40" s="57">
        <v>120000</v>
      </c>
      <c r="J40" s="57">
        <f t="shared" si="51"/>
        <v>15600</v>
      </c>
      <c r="K40" s="58">
        <v>44</v>
      </c>
      <c r="L40" s="58">
        <v>44</v>
      </c>
      <c r="M40" s="168">
        <f t="shared" si="52"/>
        <v>1</v>
      </c>
      <c r="N40" s="88">
        <f t="shared" si="53"/>
        <v>120000</v>
      </c>
      <c r="O40" s="88">
        <f t="shared" si="54"/>
        <v>15600</v>
      </c>
      <c r="P40" s="100">
        <f t="shared" si="55"/>
        <v>0</v>
      </c>
      <c r="Q40" s="60">
        <v>0.13</v>
      </c>
      <c r="R40" s="187" t="s">
        <v>166</v>
      </c>
      <c r="S40" s="67">
        <v>44951</v>
      </c>
      <c r="T40" s="43" t="s">
        <v>224</v>
      </c>
      <c r="U40" s="89"/>
      <c r="V40" s="89"/>
    </row>
    <row r="41" spans="1:25" s="9" customFormat="1" ht="14.45" customHeight="1" x14ac:dyDescent="0.25">
      <c r="A41" s="25" t="s">
        <v>164</v>
      </c>
      <c r="B41" s="25" t="s">
        <v>149</v>
      </c>
      <c r="C41" s="42" t="s">
        <v>83</v>
      </c>
      <c r="D41" s="42" t="s">
        <v>165</v>
      </c>
      <c r="E41" s="42" t="s">
        <v>94</v>
      </c>
      <c r="F41" s="56" t="s">
        <v>9</v>
      </c>
      <c r="G41" s="56" t="str">
        <f t="shared" si="50"/>
        <v>Bérköltség</v>
      </c>
      <c r="H41" s="25" t="s">
        <v>15</v>
      </c>
      <c r="I41" s="57">
        <v>120000</v>
      </c>
      <c r="J41" s="57">
        <f t="shared" si="51"/>
        <v>15600</v>
      </c>
      <c r="K41" s="58">
        <v>44</v>
      </c>
      <c r="L41" s="58">
        <v>44</v>
      </c>
      <c r="M41" s="168">
        <f t="shared" si="52"/>
        <v>1</v>
      </c>
      <c r="N41" s="88">
        <f t="shared" si="53"/>
        <v>120000</v>
      </c>
      <c r="O41" s="88">
        <f t="shared" si="54"/>
        <v>15600</v>
      </c>
      <c r="P41" s="100">
        <f t="shared" si="55"/>
        <v>0</v>
      </c>
      <c r="Q41" s="60">
        <v>0.13</v>
      </c>
      <c r="R41" s="187" t="s">
        <v>166</v>
      </c>
      <c r="S41" s="67">
        <v>44951</v>
      </c>
      <c r="T41" s="43" t="s">
        <v>224</v>
      </c>
      <c r="U41" s="89"/>
      <c r="V41" s="89"/>
    </row>
    <row r="42" spans="1:25" s="9" customFormat="1" ht="14.45" customHeight="1" x14ac:dyDescent="0.25">
      <c r="A42" s="25" t="s">
        <v>164</v>
      </c>
      <c r="B42" s="25" t="s">
        <v>149</v>
      </c>
      <c r="C42" s="42" t="s">
        <v>83</v>
      </c>
      <c r="D42" s="42" t="s">
        <v>165</v>
      </c>
      <c r="E42" s="42" t="s">
        <v>95</v>
      </c>
      <c r="F42" s="56" t="s">
        <v>9</v>
      </c>
      <c r="G42" s="56" t="str">
        <f t="shared" si="50"/>
        <v>Bérköltség</v>
      </c>
      <c r="H42" s="25" t="s">
        <v>15</v>
      </c>
      <c r="I42" s="57">
        <v>120000</v>
      </c>
      <c r="J42" s="57">
        <f t="shared" si="51"/>
        <v>15600</v>
      </c>
      <c r="K42" s="58">
        <v>44</v>
      </c>
      <c r="L42" s="58">
        <v>44</v>
      </c>
      <c r="M42" s="168">
        <f t="shared" si="52"/>
        <v>1</v>
      </c>
      <c r="N42" s="88">
        <f t="shared" si="53"/>
        <v>120000</v>
      </c>
      <c r="O42" s="88">
        <f t="shared" si="54"/>
        <v>15600</v>
      </c>
      <c r="P42" s="100">
        <f t="shared" si="55"/>
        <v>0</v>
      </c>
      <c r="Q42" s="60">
        <v>0.13</v>
      </c>
      <c r="R42" s="187" t="s">
        <v>166</v>
      </c>
      <c r="S42" s="67">
        <v>44951</v>
      </c>
      <c r="T42" s="43" t="s">
        <v>224</v>
      </c>
      <c r="U42" s="89"/>
      <c r="V42" s="89"/>
    </row>
    <row r="43" spans="1:25" s="9" customFormat="1" ht="14.45" customHeight="1" x14ac:dyDescent="0.25">
      <c r="A43" s="25" t="s">
        <v>164</v>
      </c>
      <c r="B43" s="25" t="s">
        <v>149</v>
      </c>
      <c r="C43" s="42" t="s">
        <v>83</v>
      </c>
      <c r="D43" s="42" t="s">
        <v>165</v>
      </c>
      <c r="E43" s="42" t="s">
        <v>96</v>
      </c>
      <c r="F43" s="56" t="s">
        <v>9</v>
      </c>
      <c r="G43" s="56" t="str">
        <f t="shared" si="50"/>
        <v>Bérköltség</v>
      </c>
      <c r="H43" s="25" t="s">
        <v>15</v>
      </c>
      <c r="I43" s="57">
        <v>120000</v>
      </c>
      <c r="J43" s="57">
        <f t="shared" si="51"/>
        <v>15600</v>
      </c>
      <c r="K43" s="58">
        <v>44</v>
      </c>
      <c r="L43" s="58">
        <v>44</v>
      </c>
      <c r="M43" s="168">
        <f t="shared" si="52"/>
        <v>1</v>
      </c>
      <c r="N43" s="88">
        <f t="shared" si="53"/>
        <v>120000</v>
      </c>
      <c r="O43" s="88">
        <f t="shared" si="54"/>
        <v>15600</v>
      </c>
      <c r="P43" s="100">
        <f t="shared" si="55"/>
        <v>0</v>
      </c>
      <c r="Q43" s="60">
        <v>0.13</v>
      </c>
      <c r="R43" s="187" t="s">
        <v>166</v>
      </c>
      <c r="S43" s="67">
        <v>44951</v>
      </c>
      <c r="T43" s="43" t="s">
        <v>224</v>
      </c>
      <c r="U43" s="89"/>
      <c r="V43" s="89"/>
    </row>
    <row r="44" spans="1:25" s="9" customFormat="1" ht="14.45" customHeight="1" x14ac:dyDescent="0.25">
      <c r="A44" s="25" t="s">
        <v>167</v>
      </c>
      <c r="B44" s="25" t="s">
        <v>149</v>
      </c>
      <c r="C44" s="42" t="s">
        <v>83</v>
      </c>
      <c r="D44" s="42" t="s">
        <v>165</v>
      </c>
      <c r="E44" s="42" t="s">
        <v>87</v>
      </c>
      <c r="F44" s="56" t="s">
        <v>8</v>
      </c>
      <c r="G44" s="56" t="str">
        <f t="shared" si="50"/>
        <v>Bérköltség</v>
      </c>
      <c r="H44" s="25" t="s">
        <v>15</v>
      </c>
      <c r="I44" s="57">
        <v>480000</v>
      </c>
      <c r="J44" s="57">
        <f t="shared" si="51"/>
        <v>62400</v>
      </c>
      <c r="K44" s="58">
        <v>87</v>
      </c>
      <c r="L44" s="58">
        <v>87</v>
      </c>
      <c r="M44" s="168">
        <f t="shared" si="52"/>
        <v>1</v>
      </c>
      <c r="N44" s="88">
        <f t="shared" si="53"/>
        <v>480000</v>
      </c>
      <c r="O44" s="88">
        <f t="shared" si="54"/>
        <v>62400</v>
      </c>
      <c r="P44" s="100">
        <f t="shared" si="55"/>
        <v>0</v>
      </c>
      <c r="Q44" s="60">
        <v>0.13</v>
      </c>
      <c r="R44" s="187" t="s">
        <v>168</v>
      </c>
      <c r="S44" s="67">
        <v>44960</v>
      </c>
      <c r="T44" s="43" t="s">
        <v>224</v>
      </c>
      <c r="U44" s="89"/>
      <c r="V44" s="89"/>
      <c r="W44" s="9" t="str">
        <f>IF(VLOOKUP($R44,'Havi béradatok'!$B:$E,2,FALSE)=D44,"EGYEZIK","HIBÁS")</f>
        <v>EGYEZIK</v>
      </c>
      <c r="X44" s="9">
        <f>VLOOKUP($R44,'Havi béradatok'!$B:$E,3,FALSE)-I44</f>
        <v>0</v>
      </c>
      <c r="Y44" s="9">
        <f>VLOOKUP($R44,'Havi béradatok'!$B:$E,4,FALSE)-J44</f>
        <v>0</v>
      </c>
    </row>
    <row r="45" spans="1:25" s="9" customFormat="1" ht="14.45" customHeight="1" x14ac:dyDescent="0.25">
      <c r="A45" s="25" t="s">
        <v>167</v>
      </c>
      <c r="B45" s="25" t="s">
        <v>149</v>
      </c>
      <c r="C45" s="42" t="s">
        <v>83</v>
      </c>
      <c r="D45" s="42" t="s">
        <v>165</v>
      </c>
      <c r="E45" s="42" t="s">
        <v>88</v>
      </c>
      <c r="F45" s="56" t="s">
        <v>8</v>
      </c>
      <c r="G45" s="56" t="str">
        <f t="shared" ref="G45:G70" si="56">IF(H45="Napidíj","Nem rendszeres juttatás","Bérköltség")</f>
        <v>Bérköltség</v>
      </c>
      <c r="H45" s="25" t="s">
        <v>15</v>
      </c>
      <c r="I45" s="57">
        <v>480000</v>
      </c>
      <c r="J45" s="57">
        <f t="shared" ref="J45:J51" si="57">ROUND(I45*Q45,0)</f>
        <v>62400</v>
      </c>
      <c r="K45" s="58">
        <v>87</v>
      </c>
      <c r="L45" s="58">
        <v>87</v>
      </c>
      <c r="M45" s="168">
        <f t="shared" ref="M45:M51" si="58">L45/K45</f>
        <v>1</v>
      </c>
      <c r="N45" s="88">
        <f t="shared" ref="N45:N51" si="59">ROUND(I45*M45,0)</f>
        <v>480000</v>
      </c>
      <c r="O45" s="88">
        <f t="shared" ref="O45:O51" si="60">ROUND(N45*Q45,0)</f>
        <v>62400</v>
      </c>
      <c r="P45" s="100">
        <f t="shared" ref="P45:P61" si="61">L45/K45-N45/I45</f>
        <v>0</v>
      </c>
      <c r="Q45" s="60">
        <v>0.13</v>
      </c>
      <c r="R45" s="187" t="s">
        <v>168</v>
      </c>
      <c r="S45" s="67">
        <v>44960</v>
      </c>
      <c r="T45" s="43" t="s">
        <v>224</v>
      </c>
      <c r="U45" s="89"/>
      <c r="V45" s="89"/>
      <c r="W45" s="9" t="str">
        <f>IF(VLOOKUP($R45,'Havi béradatok'!$B:$E,2,FALSE)=D45,"EGYEZIK","HIBÁS")</f>
        <v>EGYEZIK</v>
      </c>
      <c r="X45" s="9">
        <f>VLOOKUP($R45,'Havi béradatok'!$B:$E,3,FALSE)-I45</f>
        <v>0</v>
      </c>
      <c r="Y45" s="9">
        <f>VLOOKUP($R45,'Havi béradatok'!$B:$E,4,FALSE)-J45</f>
        <v>0</v>
      </c>
    </row>
    <row r="46" spans="1:25" s="9" customFormat="1" ht="14.45" customHeight="1" x14ac:dyDescent="0.25">
      <c r="A46" s="25" t="s">
        <v>167</v>
      </c>
      <c r="B46" s="25" t="s">
        <v>149</v>
      </c>
      <c r="C46" s="42" t="s">
        <v>83</v>
      </c>
      <c r="D46" s="42" t="s">
        <v>165</v>
      </c>
      <c r="E46" s="42" t="s">
        <v>89</v>
      </c>
      <c r="F46" s="56" t="s">
        <v>9</v>
      </c>
      <c r="G46" s="56" t="str">
        <f t="shared" si="56"/>
        <v>Bérköltség</v>
      </c>
      <c r="H46" s="25" t="s">
        <v>15</v>
      </c>
      <c r="I46" s="57">
        <v>480000</v>
      </c>
      <c r="J46" s="57">
        <f t="shared" si="57"/>
        <v>62400</v>
      </c>
      <c r="K46" s="58">
        <v>87</v>
      </c>
      <c r="L46" s="58">
        <v>87</v>
      </c>
      <c r="M46" s="168">
        <f t="shared" si="58"/>
        <v>1</v>
      </c>
      <c r="N46" s="88">
        <f t="shared" si="59"/>
        <v>480000</v>
      </c>
      <c r="O46" s="88">
        <f t="shared" si="60"/>
        <v>62400</v>
      </c>
      <c r="P46" s="100">
        <f t="shared" si="61"/>
        <v>0</v>
      </c>
      <c r="Q46" s="60">
        <v>0.13</v>
      </c>
      <c r="R46" s="187" t="s">
        <v>168</v>
      </c>
      <c r="S46" s="67">
        <v>44960</v>
      </c>
      <c r="T46" s="43" t="s">
        <v>224</v>
      </c>
      <c r="U46" s="89"/>
      <c r="V46" s="89"/>
    </row>
    <row r="47" spans="1:25" s="9" customFormat="1" ht="14.45" customHeight="1" x14ac:dyDescent="0.25">
      <c r="A47" s="25" t="s">
        <v>167</v>
      </c>
      <c r="B47" s="25" t="s">
        <v>149</v>
      </c>
      <c r="C47" s="42" t="s">
        <v>83</v>
      </c>
      <c r="D47" s="42" t="s">
        <v>165</v>
      </c>
      <c r="E47" s="42" t="s">
        <v>90</v>
      </c>
      <c r="F47" s="56" t="s">
        <v>9</v>
      </c>
      <c r="G47" s="56" t="str">
        <f t="shared" si="56"/>
        <v>Bérköltség</v>
      </c>
      <c r="H47" s="25" t="s">
        <v>15</v>
      </c>
      <c r="I47" s="57">
        <v>480000</v>
      </c>
      <c r="J47" s="57">
        <f t="shared" si="57"/>
        <v>62400</v>
      </c>
      <c r="K47" s="58">
        <v>87</v>
      </c>
      <c r="L47" s="58">
        <v>87</v>
      </c>
      <c r="M47" s="168">
        <f t="shared" si="58"/>
        <v>1</v>
      </c>
      <c r="N47" s="88">
        <f t="shared" si="59"/>
        <v>480000</v>
      </c>
      <c r="O47" s="88">
        <f t="shared" si="60"/>
        <v>62400</v>
      </c>
      <c r="P47" s="100">
        <f t="shared" si="61"/>
        <v>0</v>
      </c>
      <c r="Q47" s="60">
        <v>0.13</v>
      </c>
      <c r="R47" s="187" t="s">
        <v>168</v>
      </c>
      <c r="S47" s="67">
        <v>44960</v>
      </c>
      <c r="T47" s="43" t="s">
        <v>224</v>
      </c>
      <c r="U47" s="89"/>
      <c r="V47" s="89"/>
    </row>
    <row r="48" spans="1:25" s="9" customFormat="1" ht="14.45" customHeight="1" x14ac:dyDescent="0.25">
      <c r="A48" s="25" t="s">
        <v>167</v>
      </c>
      <c r="B48" s="25" t="s">
        <v>149</v>
      </c>
      <c r="C48" s="42" t="s">
        <v>83</v>
      </c>
      <c r="D48" s="42" t="s">
        <v>165</v>
      </c>
      <c r="E48" s="42" t="s">
        <v>91</v>
      </c>
      <c r="F48" s="56" t="s">
        <v>9</v>
      </c>
      <c r="G48" s="56" t="str">
        <f t="shared" si="56"/>
        <v>Bérköltség</v>
      </c>
      <c r="H48" s="25" t="s">
        <v>15</v>
      </c>
      <c r="I48" s="57">
        <v>480000</v>
      </c>
      <c r="J48" s="57">
        <f t="shared" si="57"/>
        <v>62400</v>
      </c>
      <c r="K48" s="58">
        <v>87</v>
      </c>
      <c r="L48" s="58">
        <v>87</v>
      </c>
      <c r="M48" s="168">
        <f t="shared" si="58"/>
        <v>1</v>
      </c>
      <c r="N48" s="88">
        <f t="shared" si="59"/>
        <v>480000</v>
      </c>
      <c r="O48" s="88">
        <f t="shared" si="60"/>
        <v>62400</v>
      </c>
      <c r="P48" s="100">
        <f t="shared" si="61"/>
        <v>0</v>
      </c>
      <c r="Q48" s="60">
        <v>0.13</v>
      </c>
      <c r="R48" s="187" t="s">
        <v>168</v>
      </c>
      <c r="S48" s="67">
        <v>44960</v>
      </c>
      <c r="T48" s="43" t="s">
        <v>224</v>
      </c>
      <c r="U48" s="89"/>
      <c r="V48" s="89"/>
    </row>
    <row r="49" spans="1:25" s="9" customFormat="1" ht="14.45" customHeight="1" x14ac:dyDescent="0.25">
      <c r="A49" s="25" t="s">
        <v>167</v>
      </c>
      <c r="B49" s="25" t="s">
        <v>149</v>
      </c>
      <c r="C49" s="42" t="s">
        <v>83</v>
      </c>
      <c r="D49" s="42" t="s">
        <v>165</v>
      </c>
      <c r="E49" s="42" t="s">
        <v>92</v>
      </c>
      <c r="F49" s="56" t="s">
        <v>9</v>
      </c>
      <c r="G49" s="56" t="str">
        <f t="shared" si="56"/>
        <v>Bérköltség</v>
      </c>
      <c r="H49" s="25" t="s">
        <v>15</v>
      </c>
      <c r="I49" s="57">
        <v>480000</v>
      </c>
      <c r="J49" s="57">
        <f t="shared" si="57"/>
        <v>62400</v>
      </c>
      <c r="K49" s="58">
        <v>87</v>
      </c>
      <c r="L49" s="58">
        <v>87</v>
      </c>
      <c r="M49" s="168">
        <f t="shared" si="58"/>
        <v>1</v>
      </c>
      <c r="N49" s="88">
        <f t="shared" si="59"/>
        <v>480000</v>
      </c>
      <c r="O49" s="88">
        <f t="shared" si="60"/>
        <v>62400</v>
      </c>
      <c r="P49" s="100">
        <f t="shared" si="61"/>
        <v>0</v>
      </c>
      <c r="Q49" s="60">
        <v>0.13</v>
      </c>
      <c r="R49" s="187" t="s">
        <v>168</v>
      </c>
      <c r="S49" s="67">
        <v>44960</v>
      </c>
      <c r="T49" s="43" t="s">
        <v>224</v>
      </c>
      <c r="U49" s="89"/>
      <c r="V49" s="89"/>
    </row>
    <row r="50" spans="1:25" s="9" customFormat="1" ht="14.45" customHeight="1" x14ac:dyDescent="0.25">
      <c r="A50" s="25" t="s">
        <v>167</v>
      </c>
      <c r="B50" s="25" t="s">
        <v>149</v>
      </c>
      <c r="C50" s="42" t="s">
        <v>83</v>
      </c>
      <c r="D50" s="42" t="s">
        <v>165</v>
      </c>
      <c r="E50" s="42" t="s">
        <v>93</v>
      </c>
      <c r="F50" s="56" t="s">
        <v>9</v>
      </c>
      <c r="G50" s="56" t="str">
        <f t="shared" si="56"/>
        <v>Bérköltség</v>
      </c>
      <c r="H50" s="25" t="s">
        <v>15</v>
      </c>
      <c r="I50" s="57">
        <v>480000</v>
      </c>
      <c r="J50" s="57">
        <f t="shared" si="57"/>
        <v>62400</v>
      </c>
      <c r="K50" s="58">
        <v>87</v>
      </c>
      <c r="L50" s="58">
        <v>87</v>
      </c>
      <c r="M50" s="168">
        <f t="shared" si="58"/>
        <v>1</v>
      </c>
      <c r="N50" s="88">
        <f t="shared" si="59"/>
        <v>480000</v>
      </c>
      <c r="O50" s="88">
        <f t="shared" si="60"/>
        <v>62400</v>
      </c>
      <c r="P50" s="100">
        <f t="shared" si="61"/>
        <v>0</v>
      </c>
      <c r="Q50" s="60">
        <v>0.13</v>
      </c>
      <c r="R50" s="187" t="s">
        <v>168</v>
      </c>
      <c r="S50" s="67">
        <v>44960</v>
      </c>
      <c r="T50" s="43" t="s">
        <v>224</v>
      </c>
      <c r="U50" s="89"/>
      <c r="V50" s="89"/>
    </row>
    <row r="51" spans="1:25" s="9" customFormat="1" ht="14.45" customHeight="1" x14ac:dyDescent="0.25">
      <c r="A51" s="25" t="s">
        <v>175</v>
      </c>
      <c r="B51" s="25" t="s">
        <v>149</v>
      </c>
      <c r="C51" s="42" t="s">
        <v>83</v>
      </c>
      <c r="D51" s="42" t="s">
        <v>165</v>
      </c>
      <c r="E51" s="42" t="s">
        <v>87</v>
      </c>
      <c r="F51" s="56" t="s">
        <v>8</v>
      </c>
      <c r="G51" s="56" t="str">
        <f t="shared" si="56"/>
        <v>Bérköltség</v>
      </c>
      <c r="H51" s="25" t="s">
        <v>15</v>
      </c>
      <c r="I51" s="57">
        <v>980000</v>
      </c>
      <c r="J51" s="57">
        <f t="shared" si="57"/>
        <v>127400</v>
      </c>
      <c r="K51" s="58">
        <v>174</v>
      </c>
      <c r="L51" s="58">
        <v>174</v>
      </c>
      <c r="M51" s="168">
        <f t="shared" si="58"/>
        <v>1</v>
      </c>
      <c r="N51" s="88">
        <f t="shared" si="59"/>
        <v>980000</v>
      </c>
      <c r="O51" s="88">
        <f t="shared" si="60"/>
        <v>127400</v>
      </c>
      <c r="P51" s="100">
        <f t="shared" si="61"/>
        <v>0</v>
      </c>
      <c r="Q51" s="60">
        <v>0.13</v>
      </c>
      <c r="R51" s="187" t="s">
        <v>176</v>
      </c>
      <c r="S51" s="67">
        <v>44951</v>
      </c>
      <c r="T51" s="43" t="s">
        <v>224</v>
      </c>
      <c r="U51" s="89"/>
      <c r="V51" s="89"/>
      <c r="W51" s="9" t="str">
        <f>IF(VLOOKUP($R51,'Havi béradatok'!$B:$E,2,FALSE)=D51,"EGYEZIK","HIBÁS")</f>
        <v>EGYEZIK</v>
      </c>
      <c r="X51" s="9">
        <f>VLOOKUP($R51,'Havi béradatok'!$B:$E,3,FALSE)-I51</f>
        <v>0</v>
      </c>
      <c r="Y51" s="9">
        <f>VLOOKUP($R51,'Havi béradatok'!$B:$E,4,FALSE)-J51</f>
        <v>0</v>
      </c>
    </row>
    <row r="52" spans="1:25" s="9" customFormat="1" ht="14.45" customHeight="1" x14ac:dyDescent="0.25">
      <c r="A52" s="25" t="s">
        <v>175</v>
      </c>
      <c r="B52" s="25" t="s">
        <v>149</v>
      </c>
      <c r="C52" s="42" t="s">
        <v>83</v>
      </c>
      <c r="D52" s="42" t="s">
        <v>165</v>
      </c>
      <c r="E52" s="42" t="s">
        <v>88</v>
      </c>
      <c r="F52" s="56" t="s">
        <v>8</v>
      </c>
      <c r="G52" s="56" t="str">
        <f t="shared" ref="G52:G60" si="62">IF(H52="Napidíj","Nem rendszeres juttatás","Bérköltség")</f>
        <v>Bérköltség</v>
      </c>
      <c r="H52" s="25" t="s">
        <v>15</v>
      </c>
      <c r="I52" s="57">
        <v>980000</v>
      </c>
      <c r="J52" s="57">
        <f t="shared" ref="J52:J60" si="63">ROUND(I52*Q52,0)</f>
        <v>127400</v>
      </c>
      <c r="K52" s="58">
        <v>174</v>
      </c>
      <c r="L52" s="58">
        <v>174</v>
      </c>
      <c r="M52" s="168">
        <f t="shared" ref="M52:M60" si="64">L52/K52</f>
        <v>1</v>
      </c>
      <c r="N52" s="88">
        <f t="shared" ref="N52:N60" si="65">ROUND(I52*M52,0)</f>
        <v>980000</v>
      </c>
      <c r="O52" s="88">
        <f t="shared" ref="O52:O60" si="66">ROUND(N52*Q52,0)</f>
        <v>127400</v>
      </c>
      <c r="P52" s="100">
        <f t="shared" ref="P52:P60" si="67">L52/K52-N52/I52</f>
        <v>0</v>
      </c>
      <c r="Q52" s="60">
        <v>0.13</v>
      </c>
      <c r="R52" s="187" t="s">
        <v>176</v>
      </c>
      <c r="S52" s="67">
        <v>44951</v>
      </c>
      <c r="T52" s="43" t="s">
        <v>224</v>
      </c>
      <c r="U52" s="89"/>
      <c r="V52" s="89"/>
      <c r="W52" s="9" t="str">
        <f>IF(VLOOKUP($R52,'Havi béradatok'!$B:$E,2,FALSE)=D52,"EGYEZIK","HIBÁS")</f>
        <v>EGYEZIK</v>
      </c>
      <c r="X52" s="9">
        <f>VLOOKUP($R52,'Havi béradatok'!$B:$E,3,FALSE)-I52</f>
        <v>0</v>
      </c>
      <c r="Y52" s="9">
        <f>VLOOKUP($R52,'Havi béradatok'!$B:$E,4,FALSE)-J52</f>
        <v>0</v>
      </c>
    </row>
    <row r="53" spans="1:25" s="9" customFormat="1" ht="14.45" customHeight="1" x14ac:dyDescent="0.25">
      <c r="A53" s="25" t="s">
        <v>175</v>
      </c>
      <c r="B53" s="25" t="s">
        <v>149</v>
      </c>
      <c r="C53" s="42" t="s">
        <v>83</v>
      </c>
      <c r="D53" s="42" t="s">
        <v>165</v>
      </c>
      <c r="E53" s="42" t="s">
        <v>89</v>
      </c>
      <c r="F53" s="56" t="s">
        <v>9</v>
      </c>
      <c r="G53" s="56" t="str">
        <f t="shared" si="62"/>
        <v>Bérköltség</v>
      </c>
      <c r="H53" s="25" t="s">
        <v>15</v>
      </c>
      <c r="I53" s="57">
        <v>980000</v>
      </c>
      <c r="J53" s="57">
        <f t="shared" si="63"/>
        <v>127400</v>
      </c>
      <c r="K53" s="58">
        <v>174</v>
      </c>
      <c r="L53" s="58">
        <v>174</v>
      </c>
      <c r="M53" s="168">
        <f t="shared" si="64"/>
        <v>1</v>
      </c>
      <c r="N53" s="88">
        <f t="shared" si="65"/>
        <v>980000</v>
      </c>
      <c r="O53" s="88">
        <f t="shared" si="66"/>
        <v>127400</v>
      </c>
      <c r="P53" s="100">
        <f t="shared" si="67"/>
        <v>0</v>
      </c>
      <c r="Q53" s="60">
        <v>0.13</v>
      </c>
      <c r="R53" s="187" t="s">
        <v>176</v>
      </c>
      <c r="S53" s="67">
        <v>44951</v>
      </c>
      <c r="T53" s="43" t="s">
        <v>224</v>
      </c>
      <c r="U53" s="89"/>
      <c r="V53" s="89"/>
    </row>
    <row r="54" spans="1:25" s="9" customFormat="1" ht="14.45" customHeight="1" x14ac:dyDescent="0.25">
      <c r="A54" s="25" t="s">
        <v>175</v>
      </c>
      <c r="B54" s="25" t="s">
        <v>149</v>
      </c>
      <c r="C54" s="42" t="s">
        <v>83</v>
      </c>
      <c r="D54" s="42" t="s">
        <v>165</v>
      </c>
      <c r="E54" s="42" t="s">
        <v>90</v>
      </c>
      <c r="F54" s="56" t="s">
        <v>9</v>
      </c>
      <c r="G54" s="56" t="str">
        <f t="shared" si="62"/>
        <v>Bérköltség</v>
      </c>
      <c r="H54" s="25" t="s">
        <v>15</v>
      </c>
      <c r="I54" s="57">
        <v>980000</v>
      </c>
      <c r="J54" s="57">
        <f t="shared" si="63"/>
        <v>127400</v>
      </c>
      <c r="K54" s="58">
        <v>174</v>
      </c>
      <c r="L54" s="58">
        <v>174</v>
      </c>
      <c r="M54" s="168">
        <f t="shared" si="64"/>
        <v>1</v>
      </c>
      <c r="N54" s="88">
        <f t="shared" si="65"/>
        <v>980000</v>
      </c>
      <c r="O54" s="88">
        <f t="shared" si="66"/>
        <v>127400</v>
      </c>
      <c r="P54" s="100">
        <f t="shared" si="67"/>
        <v>0</v>
      </c>
      <c r="Q54" s="60">
        <v>0.13</v>
      </c>
      <c r="R54" s="187" t="s">
        <v>176</v>
      </c>
      <c r="S54" s="67">
        <v>44951</v>
      </c>
      <c r="T54" s="43" t="s">
        <v>224</v>
      </c>
      <c r="U54" s="89"/>
      <c r="V54" s="89"/>
    </row>
    <row r="55" spans="1:25" s="9" customFormat="1" ht="14.45" customHeight="1" x14ac:dyDescent="0.25">
      <c r="A55" s="25" t="s">
        <v>175</v>
      </c>
      <c r="B55" s="25" t="s">
        <v>149</v>
      </c>
      <c r="C55" s="42" t="s">
        <v>83</v>
      </c>
      <c r="D55" s="42" t="s">
        <v>165</v>
      </c>
      <c r="E55" s="42" t="s">
        <v>91</v>
      </c>
      <c r="F55" s="56" t="s">
        <v>9</v>
      </c>
      <c r="G55" s="56" t="str">
        <f t="shared" si="62"/>
        <v>Bérköltség</v>
      </c>
      <c r="H55" s="25" t="s">
        <v>15</v>
      </c>
      <c r="I55" s="57">
        <v>980000</v>
      </c>
      <c r="J55" s="57">
        <f t="shared" si="63"/>
        <v>127400</v>
      </c>
      <c r="K55" s="58">
        <v>174</v>
      </c>
      <c r="L55" s="58">
        <v>174</v>
      </c>
      <c r="M55" s="168">
        <f t="shared" si="64"/>
        <v>1</v>
      </c>
      <c r="N55" s="88">
        <f t="shared" si="65"/>
        <v>980000</v>
      </c>
      <c r="O55" s="88">
        <f t="shared" si="66"/>
        <v>127400</v>
      </c>
      <c r="P55" s="100">
        <f t="shared" si="67"/>
        <v>0</v>
      </c>
      <c r="Q55" s="60">
        <v>0.13</v>
      </c>
      <c r="R55" s="187" t="s">
        <v>176</v>
      </c>
      <c r="S55" s="67">
        <v>44951</v>
      </c>
      <c r="T55" s="43" t="s">
        <v>224</v>
      </c>
      <c r="U55" s="89"/>
      <c r="V55" s="89"/>
    </row>
    <row r="56" spans="1:25" s="9" customFormat="1" ht="14.45" customHeight="1" x14ac:dyDescent="0.25">
      <c r="A56" s="25" t="s">
        <v>175</v>
      </c>
      <c r="B56" s="25" t="s">
        <v>149</v>
      </c>
      <c r="C56" s="42" t="s">
        <v>83</v>
      </c>
      <c r="D56" s="42" t="s">
        <v>165</v>
      </c>
      <c r="E56" s="42" t="s">
        <v>92</v>
      </c>
      <c r="F56" s="56" t="s">
        <v>9</v>
      </c>
      <c r="G56" s="56" t="str">
        <f t="shared" si="62"/>
        <v>Bérköltség</v>
      </c>
      <c r="H56" s="25" t="s">
        <v>15</v>
      </c>
      <c r="I56" s="57">
        <v>980000</v>
      </c>
      <c r="J56" s="57">
        <f t="shared" si="63"/>
        <v>127400</v>
      </c>
      <c r="K56" s="58">
        <v>174</v>
      </c>
      <c r="L56" s="58">
        <v>174</v>
      </c>
      <c r="M56" s="168">
        <f t="shared" si="64"/>
        <v>1</v>
      </c>
      <c r="N56" s="88">
        <f t="shared" si="65"/>
        <v>980000</v>
      </c>
      <c r="O56" s="88">
        <f t="shared" si="66"/>
        <v>127400</v>
      </c>
      <c r="P56" s="100">
        <f t="shared" si="67"/>
        <v>0</v>
      </c>
      <c r="Q56" s="60">
        <v>0.13</v>
      </c>
      <c r="R56" s="187" t="s">
        <v>176</v>
      </c>
      <c r="S56" s="67">
        <v>44951</v>
      </c>
      <c r="T56" s="43" t="s">
        <v>224</v>
      </c>
      <c r="U56" s="89"/>
      <c r="V56" s="89"/>
    </row>
    <row r="57" spans="1:25" s="9" customFormat="1" ht="14.45" customHeight="1" x14ac:dyDescent="0.25">
      <c r="A57" s="25" t="s">
        <v>175</v>
      </c>
      <c r="B57" s="25" t="s">
        <v>149</v>
      </c>
      <c r="C57" s="42" t="s">
        <v>83</v>
      </c>
      <c r="D57" s="42" t="s">
        <v>165</v>
      </c>
      <c r="E57" s="42" t="s">
        <v>93</v>
      </c>
      <c r="F57" s="56" t="s">
        <v>9</v>
      </c>
      <c r="G57" s="56" t="str">
        <f t="shared" si="62"/>
        <v>Bérköltség</v>
      </c>
      <c r="H57" s="25" t="s">
        <v>15</v>
      </c>
      <c r="I57" s="57">
        <v>980000</v>
      </c>
      <c r="J57" s="57">
        <f t="shared" si="63"/>
        <v>127400</v>
      </c>
      <c r="K57" s="58">
        <v>174</v>
      </c>
      <c r="L57" s="58">
        <v>174</v>
      </c>
      <c r="M57" s="168">
        <f t="shared" si="64"/>
        <v>1</v>
      </c>
      <c r="N57" s="88">
        <f t="shared" si="65"/>
        <v>980000</v>
      </c>
      <c r="O57" s="88">
        <f t="shared" si="66"/>
        <v>127400</v>
      </c>
      <c r="P57" s="100">
        <f t="shared" si="67"/>
        <v>0</v>
      </c>
      <c r="Q57" s="60">
        <v>0.13</v>
      </c>
      <c r="R57" s="187" t="s">
        <v>176</v>
      </c>
      <c r="S57" s="67">
        <v>44951</v>
      </c>
      <c r="T57" s="43" t="s">
        <v>224</v>
      </c>
      <c r="U57" s="89"/>
      <c r="V57" s="89"/>
    </row>
    <row r="58" spans="1:25" s="9" customFormat="1" ht="14.45" customHeight="1" x14ac:dyDescent="0.25">
      <c r="A58" s="25" t="s">
        <v>175</v>
      </c>
      <c r="B58" s="25" t="s">
        <v>149</v>
      </c>
      <c r="C58" s="42" t="s">
        <v>83</v>
      </c>
      <c r="D58" s="42" t="s">
        <v>165</v>
      </c>
      <c r="E58" s="42" t="s">
        <v>94</v>
      </c>
      <c r="F58" s="56" t="s">
        <v>9</v>
      </c>
      <c r="G58" s="56" t="str">
        <f t="shared" si="62"/>
        <v>Bérköltség</v>
      </c>
      <c r="H58" s="25" t="s">
        <v>15</v>
      </c>
      <c r="I58" s="57">
        <v>980000</v>
      </c>
      <c r="J58" s="57">
        <f t="shared" si="63"/>
        <v>127400</v>
      </c>
      <c r="K58" s="58">
        <v>174</v>
      </c>
      <c r="L58" s="58">
        <v>174</v>
      </c>
      <c r="M58" s="168">
        <f t="shared" si="64"/>
        <v>1</v>
      </c>
      <c r="N58" s="88">
        <f t="shared" si="65"/>
        <v>980000</v>
      </c>
      <c r="O58" s="88">
        <f t="shared" si="66"/>
        <v>127400</v>
      </c>
      <c r="P58" s="100">
        <f t="shared" si="67"/>
        <v>0</v>
      </c>
      <c r="Q58" s="60">
        <v>0.13</v>
      </c>
      <c r="R58" s="187" t="s">
        <v>176</v>
      </c>
      <c r="S58" s="67">
        <v>44951</v>
      </c>
      <c r="T58" s="43" t="s">
        <v>224</v>
      </c>
      <c r="U58" s="89"/>
      <c r="V58" s="89"/>
    </row>
    <row r="59" spans="1:25" s="9" customFormat="1" ht="14.45" customHeight="1" x14ac:dyDescent="0.25">
      <c r="A59" s="25" t="s">
        <v>175</v>
      </c>
      <c r="B59" s="25" t="s">
        <v>149</v>
      </c>
      <c r="C59" s="42" t="s">
        <v>83</v>
      </c>
      <c r="D59" s="42" t="s">
        <v>165</v>
      </c>
      <c r="E59" s="42" t="s">
        <v>95</v>
      </c>
      <c r="F59" s="56" t="s">
        <v>9</v>
      </c>
      <c r="G59" s="56" t="str">
        <f t="shared" si="62"/>
        <v>Bérköltség</v>
      </c>
      <c r="H59" s="25" t="s">
        <v>15</v>
      </c>
      <c r="I59" s="57">
        <v>980000</v>
      </c>
      <c r="J59" s="57">
        <f t="shared" si="63"/>
        <v>127400</v>
      </c>
      <c r="K59" s="58">
        <v>174</v>
      </c>
      <c r="L59" s="58">
        <v>174</v>
      </c>
      <c r="M59" s="168">
        <f t="shared" si="64"/>
        <v>1</v>
      </c>
      <c r="N59" s="88">
        <f t="shared" si="65"/>
        <v>980000</v>
      </c>
      <c r="O59" s="88">
        <f t="shared" si="66"/>
        <v>127400</v>
      </c>
      <c r="P59" s="100">
        <f t="shared" si="67"/>
        <v>0</v>
      </c>
      <c r="Q59" s="60">
        <v>0.13</v>
      </c>
      <c r="R59" s="187" t="s">
        <v>176</v>
      </c>
      <c r="S59" s="67">
        <v>44951</v>
      </c>
      <c r="T59" s="43" t="s">
        <v>224</v>
      </c>
      <c r="U59" s="89"/>
      <c r="V59" s="89"/>
    </row>
    <row r="60" spans="1:25" s="9" customFormat="1" ht="14.45" customHeight="1" x14ac:dyDescent="0.25">
      <c r="A60" s="25" t="s">
        <v>175</v>
      </c>
      <c r="B60" s="25" t="s">
        <v>149</v>
      </c>
      <c r="C60" s="42" t="s">
        <v>83</v>
      </c>
      <c r="D60" s="42" t="s">
        <v>165</v>
      </c>
      <c r="E60" s="42" t="s">
        <v>96</v>
      </c>
      <c r="F60" s="56" t="s">
        <v>9</v>
      </c>
      <c r="G60" s="56" t="str">
        <f t="shared" si="62"/>
        <v>Bérköltség</v>
      </c>
      <c r="H60" s="25" t="s">
        <v>15</v>
      </c>
      <c r="I60" s="57">
        <v>980000</v>
      </c>
      <c r="J60" s="57">
        <f t="shared" si="63"/>
        <v>127400</v>
      </c>
      <c r="K60" s="58">
        <v>174</v>
      </c>
      <c r="L60" s="58">
        <v>174</v>
      </c>
      <c r="M60" s="168">
        <f t="shared" si="64"/>
        <v>1</v>
      </c>
      <c r="N60" s="88">
        <f t="shared" si="65"/>
        <v>980000</v>
      </c>
      <c r="O60" s="88">
        <f t="shared" si="66"/>
        <v>127400</v>
      </c>
      <c r="P60" s="100">
        <f t="shared" si="67"/>
        <v>0</v>
      </c>
      <c r="Q60" s="60">
        <v>0.13</v>
      </c>
      <c r="R60" s="187" t="s">
        <v>176</v>
      </c>
      <c r="S60" s="67">
        <v>44951</v>
      </c>
      <c r="T60" s="43" t="s">
        <v>224</v>
      </c>
      <c r="U60" s="89"/>
      <c r="V60" s="89"/>
    </row>
    <row r="61" spans="1:25" s="9" customFormat="1" ht="14.45" customHeight="1" x14ac:dyDescent="0.25">
      <c r="A61" s="25" t="s">
        <v>171</v>
      </c>
      <c r="B61" s="25" t="s">
        <v>149</v>
      </c>
      <c r="C61" s="42" t="s">
        <v>83</v>
      </c>
      <c r="D61" s="42" t="s">
        <v>63</v>
      </c>
      <c r="E61" s="169" t="s">
        <v>254</v>
      </c>
      <c r="F61" s="56" t="s">
        <v>8</v>
      </c>
      <c r="G61" s="56" t="str">
        <f t="shared" si="56"/>
        <v>Bérköltség</v>
      </c>
      <c r="H61" s="25" t="s">
        <v>15</v>
      </c>
      <c r="I61" s="57">
        <v>264000</v>
      </c>
      <c r="J61" s="57">
        <f>ROUND(I61*Q61,0)</f>
        <v>34320</v>
      </c>
      <c r="K61" s="58">
        <v>174</v>
      </c>
      <c r="L61" s="58">
        <v>95</v>
      </c>
      <c r="M61" s="168">
        <f>L61/K61</f>
        <v>0.54597701149425293</v>
      </c>
      <c r="N61" s="88">
        <f>ROUND(I61*M61,0)</f>
        <v>144138</v>
      </c>
      <c r="O61" s="88">
        <f>ROUND(N61*Q61,0)</f>
        <v>18738</v>
      </c>
      <c r="P61" s="100">
        <f t="shared" si="61"/>
        <v>-2.6123301977154512E-7</v>
      </c>
      <c r="Q61" s="60">
        <v>0.13</v>
      </c>
      <c r="R61" s="187" t="s">
        <v>172</v>
      </c>
      <c r="S61" s="67">
        <v>44951</v>
      </c>
      <c r="T61" s="43" t="s">
        <v>224</v>
      </c>
      <c r="U61" s="89"/>
      <c r="V61" s="89"/>
    </row>
    <row r="62" spans="1:25" s="9" customFormat="1" ht="14.45" customHeight="1" x14ac:dyDescent="0.25">
      <c r="A62" s="25" t="s">
        <v>171</v>
      </c>
      <c r="B62" s="25" t="s">
        <v>149</v>
      </c>
      <c r="C62" s="42" t="s">
        <v>83</v>
      </c>
      <c r="D62" s="42" t="s">
        <v>67</v>
      </c>
      <c r="E62" s="42" t="s">
        <v>88</v>
      </c>
      <c r="F62" s="56" t="s">
        <v>8</v>
      </c>
      <c r="G62" s="56" t="str">
        <f t="shared" si="56"/>
        <v>Bérköltség</v>
      </c>
      <c r="H62" s="25" t="s">
        <v>15</v>
      </c>
      <c r="I62" s="57">
        <v>440000</v>
      </c>
      <c r="J62" s="57">
        <f t="shared" ref="J62:J71" si="68">ROUND(I62*Q62,0)</f>
        <v>57200</v>
      </c>
      <c r="K62" s="58">
        <v>174</v>
      </c>
      <c r="L62" s="58">
        <v>95</v>
      </c>
      <c r="M62" s="168">
        <f t="shared" ref="M62:M71" si="69">L62/K62</f>
        <v>0.54597701149425293</v>
      </c>
      <c r="N62" s="88">
        <f t="shared" ref="N62:N71" si="70">ROUND(I62*M62,0)</f>
        <v>240230</v>
      </c>
      <c r="O62" s="88">
        <f t="shared" ref="O62:O71" si="71">ROUND(N62*Q62,0)</f>
        <v>31230</v>
      </c>
      <c r="P62" s="100">
        <f t="shared" ref="P62:P71" si="72">L62/K62-N62/I62</f>
        <v>-2.6123301977154512E-7</v>
      </c>
      <c r="Q62" s="60">
        <v>0.13</v>
      </c>
      <c r="R62" s="187" t="s">
        <v>172</v>
      </c>
      <c r="S62" s="67">
        <v>44951</v>
      </c>
      <c r="T62" s="43" t="s">
        <v>224</v>
      </c>
      <c r="U62" s="89"/>
      <c r="V62" s="89"/>
      <c r="W62" s="9" t="str">
        <f>IF(VLOOKUP($R62,'Havi béradatok'!$B:$E,2,FALSE)=D62,"EGYEZIK","HIBÁS")</f>
        <v>EGYEZIK</v>
      </c>
      <c r="X62" s="9">
        <f>VLOOKUP($R62,'Havi béradatok'!$B:$E,3,FALSE)-I62</f>
        <v>0</v>
      </c>
      <c r="Y62" s="9">
        <f>VLOOKUP($R62,'Havi béradatok'!$B:$E,4,FALSE)-J62</f>
        <v>0</v>
      </c>
    </row>
    <row r="63" spans="1:25" s="9" customFormat="1" ht="14.45" customHeight="1" x14ac:dyDescent="0.25">
      <c r="A63" s="25" t="s">
        <v>171</v>
      </c>
      <c r="B63" s="25" t="s">
        <v>149</v>
      </c>
      <c r="C63" s="42" t="s">
        <v>83</v>
      </c>
      <c r="D63" s="42" t="s">
        <v>63</v>
      </c>
      <c r="E63" s="42" t="s">
        <v>89</v>
      </c>
      <c r="F63" s="56" t="s">
        <v>9</v>
      </c>
      <c r="G63" s="56" t="str">
        <f t="shared" si="56"/>
        <v>Bérköltség</v>
      </c>
      <c r="H63" s="25" t="s">
        <v>15</v>
      </c>
      <c r="I63" s="57">
        <v>440000</v>
      </c>
      <c r="J63" s="57">
        <f t="shared" si="68"/>
        <v>57200</v>
      </c>
      <c r="K63" s="58">
        <v>174</v>
      </c>
      <c r="L63" s="58">
        <v>95</v>
      </c>
      <c r="M63" s="168">
        <f t="shared" si="69"/>
        <v>0.54597701149425293</v>
      </c>
      <c r="N63" s="88">
        <f t="shared" si="70"/>
        <v>240230</v>
      </c>
      <c r="O63" s="88">
        <f t="shared" si="71"/>
        <v>31230</v>
      </c>
      <c r="P63" s="100">
        <f t="shared" si="72"/>
        <v>-2.6123301977154512E-7</v>
      </c>
      <c r="Q63" s="60">
        <v>0.13</v>
      </c>
      <c r="R63" s="187" t="s">
        <v>172</v>
      </c>
      <c r="S63" s="67">
        <v>44951</v>
      </c>
      <c r="T63" s="43" t="s">
        <v>224</v>
      </c>
      <c r="U63" s="89"/>
      <c r="V63" s="89"/>
    </row>
    <row r="64" spans="1:25" s="9" customFormat="1" ht="14.45" customHeight="1" x14ac:dyDescent="0.25">
      <c r="A64" s="25" t="s">
        <v>171</v>
      </c>
      <c r="B64" s="25" t="s">
        <v>149</v>
      </c>
      <c r="C64" s="42" t="s">
        <v>83</v>
      </c>
      <c r="D64" s="42" t="s">
        <v>63</v>
      </c>
      <c r="E64" s="42" t="s">
        <v>90</v>
      </c>
      <c r="F64" s="56" t="s">
        <v>9</v>
      </c>
      <c r="G64" s="56" t="str">
        <f t="shared" si="56"/>
        <v>Bérköltség</v>
      </c>
      <c r="H64" s="25" t="s">
        <v>15</v>
      </c>
      <c r="I64" s="57">
        <v>440000</v>
      </c>
      <c r="J64" s="57">
        <f t="shared" si="68"/>
        <v>57200</v>
      </c>
      <c r="K64" s="58">
        <v>174</v>
      </c>
      <c r="L64" s="58">
        <v>95</v>
      </c>
      <c r="M64" s="168">
        <f t="shared" si="69"/>
        <v>0.54597701149425293</v>
      </c>
      <c r="N64" s="88">
        <f t="shared" si="70"/>
        <v>240230</v>
      </c>
      <c r="O64" s="88">
        <f t="shared" si="71"/>
        <v>31230</v>
      </c>
      <c r="P64" s="100">
        <f t="shared" si="72"/>
        <v>-2.6123301977154512E-7</v>
      </c>
      <c r="Q64" s="60">
        <v>0.13</v>
      </c>
      <c r="R64" s="187" t="s">
        <v>172</v>
      </c>
      <c r="S64" s="67">
        <v>44951</v>
      </c>
      <c r="T64" s="43" t="s">
        <v>224</v>
      </c>
      <c r="U64" s="89"/>
      <c r="V64" s="89"/>
    </row>
    <row r="65" spans="1:25" s="9" customFormat="1" ht="14.45" customHeight="1" x14ac:dyDescent="0.25">
      <c r="A65" s="25" t="s">
        <v>171</v>
      </c>
      <c r="B65" s="25" t="s">
        <v>149</v>
      </c>
      <c r="C65" s="42" t="s">
        <v>83</v>
      </c>
      <c r="D65" s="42" t="s">
        <v>63</v>
      </c>
      <c r="E65" s="42" t="s">
        <v>91</v>
      </c>
      <c r="F65" s="56" t="s">
        <v>9</v>
      </c>
      <c r="G65" s="56" t="str">
        <f t="shared" si="56"/>
        <v>Bérköltség</v>
      </c>
      <c r="H65" s="25" t="s">
        <v>15</v>
      </c>
      <c r="I65" s="57">
        <v>440000</v>
      </c>
      <c r="J65" s="57">
        <f t="shared" si="68"/>
        <v>57200</v>
      </c>
      <c r="K65" s="58">
        <v>174</v>
      </c>
      <c r="L65" s="58">
        <v>95</v>
      </c>
      <c r="M65" s="168">
        <f t="shared" si="69"/>
        <v>0.54597701149425293</v>
      </c>
      <c r="N65" s="88">
        <f t="shared" si="70"/>
        <v>240230</v>
      </c>
      <c r="O65" s="88">
        <f t="shared" si="71"/>
        <v>31230</v>
      </c>
      <c r="P65" s="100">
        <f t="shared" si="72"/>
        <v>-2.6123301977154512E-7</v>
      </c>
      <c r="Q65" s="60">
        <v>0.13</v>
      </c>
      <c r="R65" s="187" t="s">
        <v>172</v>
      </c>
      <c r="S65" s="67">
        <v>44951</v>
      </c>
      <c r="T65" s="43" t="s">
        <v>224</v>
      </c>
      <c r="U65" s="89"/>
      <c r="V65" s="89"/>
    </row>
    <row r="66" spans="1:25" s="9" customFormat="1" ht="14.45" customHeight="1" x14ac:dyDescent="0.25">
      <c r="A66" s="25" t="s">
        <v>171</v>
      </c>
      <c r="B66" s="25" t="s">
        <v>149</v>
      </c>
      <c r="C66" s="42" t="s">
        <v>83</v>
      </c>
      <c r="D66" s="42" t="s">
        <v>63</v>
      </c>
      <c r="E66" s="42" t="s">
        <v>92</v>
      </c>
      <c r="F66" s="56" t="s">
        <v>9</v>
      </c>
      <c r="G66" s="56" t="str">
        <f t="shared" si="56"/>
        <v>Bérköltség</v>
      </c>
      <c r="H66" s="25" t="s">
        <v>15</v>
      </c>
      <c r="I66" s="57">
        <v>440000</v>
      </c>
      <c r="J66" s="57">
        <f t="shared" si="68"/>
        <v>57200</v>
      </c>
      <c r="K66" s="58">
        <v>174</v>
      </c>
      <c r="L66" s="58">
        <v>95</v>
      </c>
      <c r="M66" s="168">
        <f t="shared" si="69"/>
        <v>0.54597701149425293</v>
      </c>
      <c r="N66" s="88">
        <f t="shared" si="70"/>
        <v>240230</v>
      </c>
      <c r="O66" s="88">
        <f t="shared" si="71"/>
        <v>31230</v>
      </c>
      <c r="P66" s="100">
        <f t="shared" si="72"/>
        <v>-2.6123301977154512E-7</v>
      </c>
      <c r="Q66" s="60">
        <v>0.13</v>
      </c>
      <c r="R66" s="187" t="s">
        <v>172</v>
      </c>
      <c r="S66" s="67">
        <v>44951</v>
      </c>
      <c r="T66" s="43" t="s">
        <v>224</v>
      </c>
      <c r="U66" s="89"/>
      <c r="V66" s="89"/>
    </row>
    <row r="67" spans="1:25" s="9" customFormat="1" ht="14.45" customHeight="1" x14ac:dyDescent="0.25">
      <c r="A67" s="25" t="s">
        <v>171</v>
      </c>
      <c r="B67" s="25" t="s">
        <v>149</v>
      </c>
      <c r="C67" s="42" t="s">
        <v>83</v>
      </c>
      <c r="D67" s="42" t="s">
        <v>63</v>
      </c>
      <c r="E67" s="42" t="s">
        <v>93</v>
      </c>
      <c r="F67" s="56" t="s">
        <v>9</v>
      </c>
      <c r="G67" s="56" t="str">
        <f t="shared" si="56"/>
        <v>Bérköltség</v>
      </c>
      <c r="H67" s="25" t="s">
        <v>15</v>
      </c>
      <c r="I67" s="57">
        <v>440000</v>
      </c>
      <c r="J67" s="57">
        <f t="shared" si="68"/>
        <v>57200</v>
      </c>
      <c r="K67" s="58">
        <v>174</v>
      </c>
      <c r="L67" s="58">
        <v>95</v>
      </c>
      <c r="M67" s="168">
        <f t="shared" si="69"/>
        <v>0.54597701149425293</v>
      </c>
      <c r="N67" s="88">
        <f t="shared" si="70"/>
        <v>240230</v>
      </c>
      <c r="O67" s="88">
        <f t="shared" si="71"/>
        <v>31230</v>
      </c>
      <c r="P67" s="100">
        <f t="shared" si="72"/>
        <v>-2.6123301977154512E-7</v>
      </c>
      <c r="Q67" s="60">
        <v>0.13</v>
      </c>
      <c r="R67" s="187" t="s">
        <v>172</v>
      </c>
      <c r="S67" s="67">
        <v>44951</v>
      </c>
      <c r="T67" s="43" t="s">
        <v>224</v>
      </c>
      <c r="U67" s="89"/>
      <c r="V67" s="89"/>
    </row>
    <row r="68" spans="1:25" s="9" customFormat="1" ht="14.45" customHeight="1" x14ac:dyDescent="0.25">
      <c r="A68" s="25" t="s">
        <v>171</v>
      </c>
      <c r="B68" s="25" t="s">
        <v>149</v>
      </c>
      <c r="C68" s="42" t="s">
        <v>83</v>
      </c>
      <c r="D68" s="42" t="s">
        <v>63</v>
      </c>
      <c r="E68" s="42" t="s">
        <v>94</v>
      </c>
      <c r="F68" s="56" t="s">
        <v>9</v>
      </c>
      <c r="G68" s="56" t="str">
        <f t="shared" si="56"/>
        <v>Bérköltség</v>
      </c>
      <c r="H68" s="25" t="s">
        <v>15</v>
      </c>
      <c r="I68" s="57">
        <v>440000</v>
      </c>
      <c r="J68" s="57">
        <f t="shared" si="68"/>
        <v>57200</v>
      </c>
      <c r="K68" s="58">
        <v>174</v>
      </c>
      <c r="L68" s="58">
        <v>95</v>
      </c>
      <c r="M68" s="168">
        <f t="shared" si="69"/>
        <v>0.54597701149425293</v>
      </c>
      <c r="N68" s="88">
        <f t="shared" si="70"/>
        <v>240230</v>
      </c>
      <c r="O68" s="88">
        <f t="shared" si="71"/>
        <v>31230</v>
      </c>
      <c r="P68" s="100">
        <f t="shared" si="72"/>
        <v>-2.6123301977154512E-7</v>
      </c>
      <c r="Q68" s="60">
        <v>0.13</v>
      </c>
      <c r="R68" s="187" t="s">
        <v>172</v>
      </c>
      <c r="S68" s="67">
        <v>44951</v>
      </c>
      <c r="T68" s="43" t="s">
        <v>224</v>
      </c>
      <c r="U68" s="89"/>
      <c r="V68" s="89"/>
    </row>
    <row r="69" spans="1:25" s="9" customFormat="1" ht="14.45" customHeight="1" x14ac:dyDescent="0.25">
      <c r="A69" s="25" t="s">
        <v>171</v>
      </c>
      <c r="B69" s="25" t="s">
        <v>149</v>
      </c>
      <c r="C69" s="42" t="s">
        <v>83</v>
      </c>
      <c r="D69" s="42" t="s">
        <v>63</v>
      </c>
      <c r="E69" s="42" t="s">
        <v>95</v>
      </c>
      <c r="F69" s="56" t="s">
        <v>9</v>
      </c>
      <c r="G69" s="56" t="str">
        <f t="shared" si="56"/>
        <v>Bérköltség</v>
      </c>
      <c r="H69" s="25" t="s">
        <v>15</v>
      </c>
      <c r="I69" s="57">
        <v>440000</v>
      </c>
      <c r="J69" s="57">
        <f t="shared" si="68"/>
        <v>57200</v>
      </c>
      <c r="K69" s="58">
        <v>174</v>
      </c>
      <c r="L69" s="58">
        <v>95</v>
      </c>
      <c r="M69" s="168">
        <f t="shared" si="69"/>
        <v>0.54597701149425293</v>
      </c>
      <c r="N69" s="88">
        <f t="shared" si="70"/>
        <v>240230</v>
      </c>
      <c r="O69" s="88">
        <f t="shared" si="71"/>
        <v>31230</v>
      </c>
      <c r="P69" s="100">
        <f t="shared" si="72"/>
        <v>-2.6123301977154512E-7</v>
      </c>
      <c r="Q69" s="60">
        <v>0.13</v>
      </c>
      <c r="R69" s="187" t="s">
        <v>172</v>
      </c>
      <c r="S69" s="67">
        <v>44951</v>
      </c>
      <c r="T69" s="43" t="s">
        <v>224</v>
      </c>
      <c r="U69" s="89"/>
      <c r="V69" s="89"/>
    </row>
    <row r="70" spans="1:25" s="9" customFormat="1" ht="14.45" customHeight="1" x14ac:dyDescent="0.25">
      <c r="A70" s="25" t="s">
        <v>171</v>
      </c>
      <c r="B70" s="25" t="s">
        <v>149</v>
      </c>
      <c r="C70" s="42" t="s">
        <v>83</v>
      </c>
      <c r="D70" s="42" t="s">
        <v>63</v>
      </c>
      <c r="E70" s="42" t="s">
        <v>96</v>
      </c>
      <c r="F70" s="56" t="s">
        <v>9</v>
      </c>
      <c r="G70" s="56" t="str">
        <f t="shared" si="56"/>
        <v>Bérköltség</v>
      </c>
      <c r="H70" s="25" t="s">
        <v>15</v>
      </c>
      <c r="I70" s="57">
        <v>440000</v>
      </c>
      <c r="J70" s="57">
        <f t="shared" si="68"/>
        <v>57200</v>
      </c>
      <c r="K70" s="58">
        <v>174</v>
      </c>
      <c r="L70" s="58">
        <v>95</v>
      </c>
      <c r="M70" s="168">
        <f t="shared" si="69"/>
        <v>0.54597701149425293</v>
      </c>
      <c r="N70" s="88">
        <f t="shared" si="70"/>
        <v>240230</v>
      </c>
      <c r="O70" s="88">
        <f t="shared" si="71"/>
        <v>31230</v>
      </c>
      <c r="P70" s="100">
        <f t="shared" si="72"/>
        <v>-2.6123301977154512E-7</v>
      </c>
      <c r="Q70" s="60">
        <v>0.13</v>
      </c>
      <c r="R70" s="187" t="s">
        <v>172</v>
      </c>
      <c r="S70" s="67">
        <v>44951</v>
      </c>
      <c r="T70" s="43" t="s">
        <v>224</v>
      </c>
      <c r="U70" s="89"/>
      <c r="V70" s="89"/>
    </row>
    <row r="71" spans="1:25" s="9" customFormat="1" ht="14.45" customHeight="1" x14ac:dyDescent="0.25">
      <c r="A71" s="25" t="s">
        <v>180</v>
      </c>
      <c r="B71" s="25" t="s">
        <v>149</v>
      </c>
      <c r="C71" s="42" t="s">
        <v>83</v>
      </c>
      <c r="D71" s="42" t="s">
        <v>181</v>
      </c>
      <c r="E71" s="42" t="s">
        <v>87</v>
      </c>
      <c r="F71" s="56" t="s">
        <v>8</v>
      </c>
      <c r="G71" s="56" t="str">
        <f t="shared" ref="G71:G75" si="73">IF(H71="Napidíj","Nem rendszeres juttatás","Bérköltség")</f>
        <v>Bérköltség</v>
      </c>
      <c r="H71" s="25" t="s">
        <v>15</v>
      </c>
      <c r="I71" s="57">
        <v>650000</v>
      </c>
      <c r="J71" s="57">
        <f t="shared" si="68"/>
        <v>84500</v>
      </c>
      <c r="K71" s="58">
        <v>174</v>
      </c>
      <c r="L71" s="58">
        <v>27</v>
      </c>
      <c r="M71" s="168">
        <f t="shared" si="69"/>
        <v>0.15517241379310345</v>
      </c>
      <c r="N71" s="88">
        <f t="shared" si="70"/>
        <v>100862</v>
      </c>
      <c r="O71" s="88">
        <f t="shared" si="71"/>
        <v>13112</v>
      </c>
      <c r="P71" s="100">
        <f t="shared" si="72"/>
        <v>1.0610079576034437E-7</v>
      </c>
      <c r="Q71" s="60">
        <v>0.13</v>
      </c>
      <c r="R71" s="187" t="s">
        <v>182</v>
      </c>
      <c r="S71" s="67">
        <v>44951</v>
      </c>
      <c r="T71" s="43" t="s">
        <v>224</v>
      </c>
      <c r="U71" s="89"/>
      <c r="V71" s="89"/>
      <c r="W71" s="9" t="str">
        <f>IF(VLOOKUP($R71,'Havi béradatok'!$B:$E,2,FALSE)=D71,"EGYEZIK","HIBÁS")</f>
        <v>EGYEZIK</v>
      </c>
      <c r="X71" s="9">
        <f>VLOOKUP($R71,'Havi béradatok'!$B:$E,3,FALSE)-I71</f>
        <v>0</v>
      </c>
      <c r="Y71" s="203">
        <f>VLOOKUP($R71,'Havi béradatok'!$B:$E,4,FALSE)-J71</f>
        <v>0</v>
      </c>
    </row>
    <row r="72" spans="1:25" s="9" customFormat="1" ht="14.45" customHeight="1" x14ac:dyDescent="0.25">
      <c r="A72" s="25" t="s">
        <v>180</v>
      </c>
      <c r="B72" s="25" t="s">
        <v>149</v>
      </c>
      <c r="C72" s="42" t="s">
        <v>83</v>
      </c>
      <c r="D72" s="42" t="s">
        <v>181</v>
      </c>
      <c r="E72" s="42" t="s">
        <v>88</v>
      </c>
      <c r="F72" s="56" t="s">
        <v>8</v>
      </c>
      <c r="G72" s="56" t="str">
        <f t="shared" si="73"/>
        <v>Bérköltség</v>
      </c>
      <c r="H72" s="25" t="s">
        <v>15</v>
      </c>
      <c r="I72" s="57">
        <v>650000</v>
      </c>
      <c r="J72" s="57">
        <f t="shared" ref="J72" si="74">ROUND(I72*Q72,0)</f>
        <v>84500</v>
      </c>
      <c r="K72" s="58">
        <v>174</v>
      </c>
      <c r="L72" s="58">
        <v>27</v>
      </c>
      <c r="M72" s="168">
        <f t="shared" ref="M72" si="75">L72/K72</f>
        <v>0.15517241379310345</v>
      </c>
      <c r="N72" s="88">
        <f t="shared" ref="N72" si="76">ROUND(I72*M72,0)</f>
        <v>100862</v>
      </c>
      <c r="O72" s="88">
        <f t="shared" ref="O72" si="77">ROUND(N72*Q72,0)</f>
        <v>13112</v>
      </c>
      <c r="P72" s="100">
        <f t="shared" ref="P72" si="78">L72/K72-N72/I72</f>
        <v>1.0610079576034437E-7</v>
      </c>
      <c r="Q72" s="60">
        <v>0.13</v>
      </c>
      <c r="R72" s="187" t="s">
        <v>182</v>
      </c>
      <c r="S72" s="67">
        <v>44972</v>
      </c>
      <c r="T72" s="43" t="s">
        <v>224</v>
      </c>
      <c r="U72" s="89"/>
      <c r="V72" s="89"/>
      <c r="W72" s="9" t="str">
        <f>IF(VLOOKUP($R72,'Havi béradatok'!$B:$E,2,FALSE)=D72,"EGYEZIK","HIBÁS")</f>
        <v>EGYEZIK</v>
      </c>
      <c r="X72" s="9">
        <f>VLOOKUP($R72,'Havi béradatok'!$B:$E,3,FALSE)-I72</f>
        <v>0</v>
      </c>
      <c r="Y72" s="9">
        <f>VLOOKUP($R72,'Havi béradatok'!$B:$E,4,FALSE)-J72</f>
        <v>0</v>
      </c>
    </row>
    <row r="73" spans="1:25" s="9" customFormat="1" ht="14.45" customHeight="1" x14ac:dyDescent="0.25">
      <c r="A73" s="25" t="s">
        <v>180</v>
      </c>
      <c r="B73" s="25" t="s">
        <v>149</v>
      </c>
      <c r="C73" s="42" t="s">
        <v>83</v>
      </c>
      <c r="D73" s="42" t="s">
        <v>181</v>
      </c>
      <c r="E73" s="42" t="s">
        <v>89</v>
      </c>
      <c r="F73" s="56" t="s">
        <v>9</v>
      </c>
      <c r="G73" s="56" t="str">
        <f t="shared" si="73"/>
        <v>Bérköltség</v>
      </c>
      <c r="H73" s="25" t="s">
        <v>15</v>
      </c>
      <c r="I73" s="57">
        <v>650000</v>
      </c>
      <c r="J73" s="57">
        <f t="shared" ref="J73:J75" si="79">ROUND(I73*Q73,0)</f>
        <v>84500</v>
      </c>
      <c r="K73" s="58">
        <v>174</v>
      </c>
      <c r="L73" s="58">
        <v>27</v>
      </c>
      <c r="M73" s="168">
        <f t="shared" ref="M73:M75" si="80">L73/K73</f>
        <v>0.15517241379310345</v>
      </c>
      <c r="N73" s="88">
        <f t="shared" ref="N73:N75" si="81">ROUND(I73*M73,0)</f>
        <v>100862</v>
      </c>
      <c r="O73" s="88">
        <f t="shared" ref="O73:O75" si="82">ROUND(N73*Q73,0)</f>
        <v>13112</v>
      </c>
      <c r="P73" s="100">
        <f t="shared" ref="P73:P75" si="83">L73/K73-N73/I73</f>
        <v>1.0610079576034437E-7</v>
      </c>
      <c r="Q73" s="60">
        <v>0.13</v>
      </c>
      <c r="R73" s="187" t="s">
        <v>182</v>
      </c>
      <c r="S73" s="67">
        <v>44972</v>
      </c>
      <c r="T73" s="43" t="s">
        <v>224</v>
      </c>
      <c r="U73" s="89"/>
      <c r="V73" s="89"/>
    </row>
    <row r="74" spans="1:25" s="9" customFormat="1" ht="14.45" customHeight="1" x14ac:dyDescent="0.25">
      <c r="A74" s="25" t="s">
        <v>180</v>
      </c>
      <c r="B74" s="25" t="s">
        <v>149</v>
      </c>
      <c r="C74" s="42" t="s">
        <v>83</v>
      </c>
      <c r="D74" s="42" t="s">
        <v>181</v>
      </c>
      <c r="E74" s="42" t="s">
        <v>90</v>
      </c>
      <c r="F74" s="56" t="s">
        <v>9</v>
      </c>
      <c r="G74" s="56" t="str">
        <f t="shared" si="73"/>
        <v>Bérköltség</v>
      </c>
      <c r="H74" s="25" t="s">
        <v>15</v>
      </c>
      <c r="I74" s="57">
        <v>650000</v>
      </c>
      <c r="J74" s="57">
        <f t="shared" si="79"/>
        <v>84500</v>
      </c>
      <c r="K74" s="58">
        <v>174</v>
      </c>
      <c r="L74" s="58">
        <v>27</v>
      </c>
      <c r="M74" s="168">
        <f t="shared" si="80"/>
        <v>0.15517241379310345</v>
      </c>
      <c r="N74" s="88">
        <f t="shared" si="81"/>
        <v>100862</v>
      </c>
      <c r="O74" s="88">
        <f t="shared" si="82"/>
        <v>13112</v>
      </c>
      <c r="P74" s="100">
        <f t="shared" si="83"/>
        <v>1.0610079576034437E-7</v>
      </c>
      <c r="Q74" s="60">
        <v>0.13</v>
      </c>
      <c r="R74" s="187" t="s">
        <v>182</v>
      </c>
      <c r="S74" s="67">
        <v>44972</v>
      </c>
      <c r="T74" s="43" t="s">
        <v>224</v>
      </c>
      <c r="U74" s="89"/>
      <c r="V74" s="89"/>
    </row>
    <row r="75" spans="1:25" s="9" customFormat="1" ht="14.45" customHeight="1" x14ac:dyDescent="0.25">
      <c r="A75" s="25" t="s">
        <v>180</v>
      </c>
      <c r="B75" s="25" t="s">
        <v>149</v>
      </c>
      <c r="C75" s="42" t="s">
        <v>83</v>
      </c>
      <c r="D75" s="42" t="s">
        <v>181</v>
      </c>
      <c r="E75" s="42" t="s">
        <v>91</v>
      </c>
      <c r="F75" s="56" t="s">
        <v>9</v>
      </c>
      <c r="G75" s="56" t="str">
        <f t="shared" si="73"/>
        <v>Bérköltség</v>
      </c>
      <c r="H75" s="25" t="s">
        <v>15</v>
      </c>
      <c r="I75" s="57">
        <v>650000</v>
      </c>
      <c r="J75" s="57">
        <f t="shared" si="79"/>
        <v>84500</v>
      </c>
      <c r="K75" s="58">
        <v>174</v>
      </c>
      <c r="L75" s="58">
        <v>27</v>
      </c>
      <c r="M75" s="168">
        <f t="shared" si="80"/>
        <v>0.15517241379310345</v>
      </c>
      <c r="N75" s="88">
        <f t="shared" si="81"/>
        <v>100862</v>
      </c>
      <c r="O75" s="88">
        <f t="shared" si="82"/>
        <v>13112</v>
      </c>
      <c r="P75" s="100">
        <f t="shared" si="83"/>
        <v>1.0610079576034437E-7</v>
      </c>
      <c r="Q75" s="60">
        <v>0.13</v>
      </c>
      <c r="R75" s="187" t="s">
        <v>182</v>
      </c>
      <c r="S75" s="67">
        <v>44972</v>
      </c>
      <c r="T75" s="43" t="s">
        <v>224</v>
      </c>
      <c r="U75" s="89"/>
      <c r="V75" s="89"/>
    </row>
    <row r="76" spans="1:25" s="9" customFormat="1" ht="14.45" customHeight="1" x14ac:dyDescent="0.25">
      <c r="A76" s="25" t="s">
        <v>147</v>
      </c>
      <c r="B76" s="25" t="s">
        <v>149</v>
      </c>
      <c r="C76" s="42" t="s">
        <v>83</v>
      </c>
      <c r="D76" s="42" t="s">
        <v>67</v>
      </c>
      <c r="E76" s="42" t="s">
        <v>87</v>
      </c>
      <c r="F76" s="56" t="s">
        <v>8</v>
      </c>
      <c r="G76" s="56" t="str">
        <f t="shared" si="0"/>
        <v>Bérköltség</v>
      </c>
      <c r="H76" s="25" t="s">
        <v>15</v>
      </c>
      <c r="I76" s="57">
        <v>916000</v>
      </c>
      <c r="J76" s="57">
        <f>ROUND(I76*Q76,0)</f>
        <v>119080</v>
      </c>
      <c r="K76" s="58">
        <v>174</v>
      </c>
      <c r="L76" s="58">
        <v>87</v>
      </c>
      <c r="M76" s="168">
        <f>L76/K76</f>
        <v>0.5</v>
      </c>
      <c r="N76" s="88">
        <f>ROUND(I76*M76,0)</f>
        <v>458000</v>
      </c>
      <c r="O76" s="88">
        <f>ROUND(N76*Q76,0)</f>
        <v>59540</v>
      </c>
      <c r="P76" s="100">
        <f t="shared" si="43"/>
        <v>0</v>
      </c>
      <c r="Q76" s="60">
        <v>0.13</v>
      </c>
      <c r="R76" s="187" t="s">
        <v>162</v>
      </c>
      <c r="S76" s="67"/>
      <c r="T76" s="43" t="s">
        <v>224</v>
      </c>
      <c r="U76" s="89"/>
      <c r="V76" s="89"/>
      <c r="W76" s="9" t="str">
        <f>IF(VLOOKUP($R76,'Havi béradatok'!$B:$E,2,FALSE)=D76,"EGYEZIK","HIBÁS")</f>
        <v>EGYEZIK</v>
      </c>
      <c r="X76" s="9">
        <f>VLOOKUP($R76,'Havi béradatok'!$B:$E,3,FALSE)-I76</f>
        <v>0</v>
      </c>
      <c r="Y76" s="9">
        <f>VLOOKUP($R76,'Havi béradatok'!$B:$E,4,FALSE)-J76</f>
        <v>0</v>
      </c>
    </row>
    <row r="77" spans="1:25" s="9" customFormat="1" ht="14.45" customHeight="1" x14ac:dyDescent="0.25">
      <c r="A77" s="25" t="s">
        <v>147</v>
      </c>
      <c r="B77" s="25" t="s">
        <v>149</v>
      </c>
      <c r="C77" s="42" t="s">
        <v>83</v>
      </c>
      <c r="D77" s="42" t="s">
        <v>67</v>
      </c>
      <c r="E77" s="42" t="s">
        <v>88</v>
      </c>
      <c r="F77" s="56" t="s">
        <v>8</v>
      </c>
      <c r="G77" s="56" t="str">
        <f t="shared" si="0"/>
        <v>Bérköltség</v>
      </c>
      <c r="H77" s="25" t="s">
        <v>15</v>
      </c>
      <c r="I77" s="57">
        <v>916000</v>
      </c>
      <c r="J77" s="57">
        <f t="shared" ref="J77:J144" si="84">ROUND(I77*Q77,0)</f>
        <v>119080</v>
      </c>
      <c r="K77" s="58">
        <v>174</v>
      </c>
      <c r="L77" s="58">
        <v>87</v>
      </c>
      <c r="M77" s="168">
        <f t="shared" ref="M77:M144" si="85">L77/K77</f>
        <v>0.5</v>
      </c>
      <c r="N77" s="88">
        <f t="shared" ref="N77:N144" si="86">ROUND(I77*M77,0)</f>
        <v>458000</v>
      </c>
      <c r="O77" s="88">
        <f t="shared" ref="O77:O144" si="87">ROUND(N77*Q77,0)</f>
        <v>59540</v>
      </c>
      <c r="P77" s="100">
        <f t="shared" ref="P77:P144" si="88">L77/K77-N77/I77</f>
        <v>0</v>
      </c>
      <c r="Q77" s="60">
        <v>0.13</v>
      </c>
      <c r="R77" s="187" t="s">
        <v>162</v>
      </c>
      <c r="S77" s="67"/>
      <c r="T77" s="43" t="s">
        <v>224</v>
      </c>
      <c r="U77" s="89"/>
      <c r="V77" s="89"/>
      <c r="W77" s="9" t="str">
        <f>IF(VLOOKUP($R77,'Havi béradatok'!$B:$E,2,FALSE)=D77,"EGYEZIK","HIBÁS")</f>
        <v>EGYEZIK</v>
      </c>
      <c r="X77" s="9">
        <f>VLOOKUP($R77,'Havi béradatok'!$B:$E,3,FALSE)-I77</f>
        <v>0</v>
      </c>
      <c r="Y77" s="9">
        <f>VLOOKUP($R77,'Havi béradatok'!$B:$E,4,FALSE)-J77</f>
        <v>0</v>
      </c>
    </row>
    <row r="78" spans="1:25" s="9" customFormat="1" ht="14.45" customHeight="1" x14ac:dyDescent="0.25">
      <c r="A78" s="25" t="s">
        <v>147</v>
      </c>
      <c r="B78" s="25" t="s">
        <v>149</v>
      </c>
      <c r="C78" s="42" t="s">
        <v>83</v>
      </c>
      <c r="D78" s="42" t="s">
        <v>67</v>
      </c>
      <c r="E78" s="42" t="s">
        <v>89</v>
      </c>
      <c r="F78" s="56" t="s">
        <v>9</v>
      </c>
      <c r="G78" s="56" t="str">
        <f t="shared" si="0"/>
        <v>Bérköltség</v>
      </c>
      <c r="H78" s="25" t="s">
        <v>15</v>
      </c>
      <c r="I78" s="57">
        <v>916000</v>
      </c>
      <c r="J78" s="57">
        <f t="shared" si="84"/>
        <v>119080</v>
      </c>
      <c r="K78" s="58">
        <v>174</v>
      </c>
      <c r="L78" s="58">
        <v>87</v>
      </c>
      <c r="M78" s="168">
        <f t="shared" si="85"/>
        <v>0.5</v>
      </c>
      <c r="N78" s="88">
        <f t="shared" si="86"/>
        <v>458000</v>
      </c>
      <c r="O78" s="88">
        <f t="shared" si="87"/>
        <v>59540</v>
      </c>
      <c r="P78" s="100">
        <f t="shared" si="88"/>
        <v>0</v>
      </c>
      <c r="Q78" s="60">
        <v>0.13</v>
      </c>
      <c r="R78" s="187" t="s">
        <v>162</v>
      </c>
      <c r="S78" s="67"/>
      <c r="T78" s="43" t="s">
        <v>224</v>
      </c>
      <c r="U78" s="89"/>
      <c r="V78" s="89"/>
    </row>
    <row r="79" spans="1:25" s="9" customFormat="1" ht="14.45" customHeight="1" x14ac:dyDescent="0.25">
      <c r="A79" s="25" t="s">
        <v>147</v>
      </c>
      <c r="B79" s="25" t="s">
        <v>149</v>
      </c>
      <c r="C79" s="42" t="s">
        <v>83</v>
      </c>
      <c r="D79" s="42" t="s">
        <v>67</v>
      </c>
      <c r="E79" s="42" t="s">
        <v>90</v>
      </c>
      <c r="F79" s="56" t="s">
        <v>9</v>
      </c>
      <c r="G79" s="56" t="str">
        <f t="shared" si="0"/>
        <v>Bérköltség</v>
      </c>
      <c r="H79" s="25" t="s">
        <v>15</v>
      </c>
      <c r="I79" s="57">
        <v>916000</v>
      </c>
      <c r="J79" s="57">
        <f t="shared" si="84"/>
        <v>119080</v>
      </c>
      <c r="K79" s="58">
        <v>174</v>
      </c>
      <c r="L79" s="58">
        <v>87</v>
      </c>
      <c r="M79" s="168">
        <f t="shared" si="85"/>
        <v>0.5</v>
      </c>
      <c r="N79" s="88">
        <f t="shared" si="86"/>
        <v>458000</v>
      </c>
      <c r="O79" s="88">
        <f t="shared" si="87"/>
        <v>59540</v>
      </c>
      <c r="P79" s="100">
        <f t="shared" si="88"/>
        <v>0</v>
      </c>
      <c r="Q79" s="60">
        <v>0.13</v>
      </c>
      <c r="R79" s="187" t="s">
        <v>162</v>
      </c>
      <c r="S79" s="67"/>
      <c r="T79" s="43" t="s">
        <v>224</v>
      </c>
      <c r="U79" s="89"/>
      <c r="V79" s="89"/>
    </row>
    <row r="80" spans="1:25" s="9" customFormat="1" ht="14.45" customHeight="1" x14ac:dyDescent="0.25">
      <c r="A80" s="25" t="s">
        <v>147</v>
      </c>
      <c r="B80" s="25" t="s">
        <v>149</v>
      </c>
      <c r="C80" s="42" t="s">
        <v>83</v>
      </c>
      <c r="D80" s="42" t="s">
        <v>67</v>
      </c>
      <c r="E80" s="42" t="s">
        <v>91</v>
      </c>
      <c r="F80" s="56" t="s">
        <v>9</v>
      </c>
      <c r="G80" s="56" t="str">
        <f t="shared" si="0"/>
        <v>Bérköltség</v>
      </c>
      <c r="H80" s="25" t="s">
        <v>15</v>
      </c>
      <c r="I80" s="57">
        <v>916000</v>
      </c>
      <c r="J80" s="57">
        <f t="shared" si="84"/>
        <v>119080</v>
      </c>
      <c r="K80" s="58">
        <v>174</v>
      </c>
      <c r="L80" s="58">
        <v>87</v>
      </c>
      <c r="M80" s="168">
        <f t="shared" si="85"/>
        <v>0.5</v>
      </c>
      <c r="N80" s="88">
        <f t="shared" si="86"/>
        <v>458000</v>
      </c>
      <c r="O80" s="88">
        <f t="shared" si="87"/>
        <v>59540</v>
      </c>
      <c r="P80" s="100">
        <f t="shared" si="88"/>
        <v>0</v>
      </c>
      <c r="Q80" s="60">
        <v>0.13</v>
      </c>
      <c r="R80" s="187" t="s">
        <v>162</v>
      </c>
      <c r="S80" s="67"/>
      <c r="T80" s="43" t="s">
        <v>224</v>
      </c>
      <c r="U80" s="89"/>
      <c r="V80" s="89"/>
    </row>
    <row r="81" spans="1:25" s="9" customFormat="1" ht="14.45" customHeight="1" x14ac:dyDescent="0.25">
      <c r="A81" s="25" t="s">
        <v>147</v>
      </c>
      <c r="B81" s="25" t="s">
        <v>149</v>
      </c>
      <c r="C81" s="42" t="s">
        <v>83</v>
      </c>
      <c r="D81" s="42" t="s">
        <v>67</v>
      </c>
      <c r="E81" s="42" t="s">
        <v>92</v>
      </c>
      <c r="F81" s="56" t="s">
        <v>9</v>
      </c>
      <c r="G81" s="56" t="str">
        <f t="shared" si="0"/>
        <v>Bérköltség</v>
      </c>
      <c r="H81" s="25" t="s">
        <v>15</v>
      </c>
      <c r="I81" s="57">
        <v>916000</v>
      </c>
      <c r="J81" s="57">
        <f t="shared" si="84"/>
        <v>119080</v>
      </c>
      <c r="K81" s="58">
        <v>174</v>
      </c>
      <c r="L81" s="58">
        <v>87</v>
      </c>
      <c r="M81" s="168">
        <f t="shared" si="85"/>
        <v>0.5</v>
      </c>
      <c r="N81" s="88">
        <f t="shared" si="86"/>
        <v>458000</v>
      </c>
      <c r="O81" s="88">
        <f t="shared" si="87"/>
        <v>59540</v>
      </c>
      <c r="P81" s="100">
        <f t="shared" si="88"/>
        <v>0</v>
      </c>
      <c r="Q81" s="60">
        <v>0.13</v>
      </c>
      <c r="R81" s="187" t="s">
        <v>162</v>
      </c>
      <c r="S81" s="67"/>
      <c r="T81" s="43" t="s">
        <v>224</v>
      </c>
      <c r="U81" s="89"/>
      <c r="V81" s="89"/>
    </row>
    <row r="82" spans="1:25" s="9" customFormat="1" ht="14.45" customHeight="1" x14ac:dyDescent="0.25">
      <c r="A82" s="25" t="s">
        <v>147</v>
      </c>
      <c r="B82" s="25" t="s">
        <v>149</v>
      </c>
      <c r="C82" s="42" t="s">
        <v>83</v>
      </c>
      <c r="D82" s="42" t="s">
        <v>67</v>
      </c>
      <c r="E82" s="42" t="s">
        <v>93</v>
      </c>
      <c r="F82" s="56" t="s">
        <v>9</v>
      </c>
      <c r="G82" s="56" t="str">
        <f t="shared" si="0"/>
        <v>Bérköltség</v>
      </c>
      <c r="H82" s="25" t="s">
        <v>15</v>
      </c>
      <c r="I82" s="57">
        <v>916000</v>
      </c>
      <c r="J82" s="57">
        <f t="shared" si="84"/>
        <v>119080</v>
      </c>
      <c r="K82" s="58">
        <v>174</v>
      </c>
      <c r="L82" s="58">
        <v>87</v>
      </c>
      <c r="M82" s="168">
        <f t="shared" si="85"/>
        <v>0.5</v>
      </c>
      <c r="N82" s="88">
        <f t="shared" si="86"/>
        <v>458000</v>
      </c>
      <c r="O82" s="88">
        <f t="shared" si="87"/>
        <v>59540</v>
      </c>
      <c r="P82" s="100">
        <f t="shared" si="88"/>
        <v>0</v>
      </c>
      <c r="Q82" s="60">
        <v>0.13</v>
      </c>
      <c r="R82" s="187" t="s">
        <v>162</v>
      </c>
      <c r="S82" s="67"/>
      <c r="T82" s="43" t="s">
        <v>224</v>
      </c>
      <c r="U82" s="89"/>
      <c r="V82" s="89"/>
    </row>
    <row r="83" spans="1:25" s="9" customFormat="1" ht="14.45" customHeight="1" x14ac:dyDescent="0.25">
      <c r="A83" s="25" t="s">
        <v>147</v>
      </c>
      <c r="B83" s="25" t="s">
        <v>149</v>
      </c>
      <c r="C83" s="42" t="s">
        <v>83</v>
      </c>
      <c r="D83" s="42" t="s">
        <v>67</v>
      </c>
      <c r="E83" s="42" t="s">
        <v>94</v>
      </c>
      <c r="F83" s="56" t="s">
        <v>9</v>
      </c>
      <c r="G83" s="56" t="str">
        <f t="shared" si="0"/>
        <v>Bérköltség</v>
      </c>
      <c r="H83" s="25" t="s">
        <v>15</v>
      </c>
      <c r="I83" s="57">
        <v>916000</v>
      </c>
      <c r="J83" s="57">
        <f t="shared" si="84"/>
        <v>119080</v>
      </c>
      <c r="K83" s="58">
        <v>174</v>
      </c>
      <c r="L83" s="58">
        <v>87</v>
      </c>
      <c r="M83" s="168">
        <f t="shared" si="85"/>
        <v>0.5</v>
      </c>
      <c r="N83" s="88">
        <f t="shared" si="86"/>
        <v>458000</v>
      </c>
      <c r="O83" s="88">
        <f t="shared" si="87"/>
        <v>59540</v>
      </c>
      <c r="P83" s="100">
        <f t="shared" si="88"/>
        <v>0</v>
      </c>
      <c r="Q83" s="60">
        <v>0.13</v>
      </c>
      <c r="R83" s="187" t="s">
        <v>162</v>
      </c>
      <c r="S83" s="67"/>
      <c r="T83" s="43" t="s">
        <v>224</v>
      </c>
      <c r="U83" s="89"/>
      <c r="V83" s="89"/>
    </row>
    <row r="84" spans="1:25" s="9" customFormat="1" ht="14.45" customHeight="1" x14ac:dyDescent="0.25">
      <c r="A84" s="25" t="s">
        <v>147</v>
      </c>
      <c r="B84" s="25" t="s">
        <v>149</v>
      </c>
      <c r="C84" s="42" t="s">
        <v>83</v>
      </c>
      <c r="D84" s="42" t="s">
        <v>67</v>
      </c>
      <c r="E84" s="42" t="s">
        <v>95</v>
      </c>
      <c r="F84" s="56" t="s">
        <v>9</v>
      </c>
      <c r="G84" s="56" t="str">
        <f t="shared" si="0"/>
        <v>Bérköltség</v>
      </c>
      <c r="H84" s="25" t="s">
        <v>15</v>
      </c>
      <c r="I84" s="57">
        <v>916000</v>
      </c>
      <c r="J84" s="57">
        <f t="shared" si="84"/>
        <v>119080</v>
      </c>
      <c r="K84" s="58">
        <v>174</v>
      </c>
      <c r="L84" s="58">
        <v>87</v>
      </c>
      <c r="M84" s="168">
        <f t="shared" si="85"/>
        <v>0.5</v>
      </c>
      <c r="N84" s="88">
        <f t="shared" si="86"/>
        <v>458000</v>
      </c>
      <c r="O84" s="88">
        <f t="shared" si="87"/>
        <v>59540</v>
      </c>
      <c r="P84" s="100">
        <f t="shared" si="88"/>
        <v>0</v>
      </c>
      <c r="Q84" s="60">
        <v>0.13</v>
      </c>
      <c r="R84" s="187" t="s">
        <v>162</v>
      </c>
      <c r="S84" s="67"/>
      <c r="T84" s="43" t="s">
        <v>224</v>
      </c>
      <c r="U84" s="89"/>
      <c r="V84" s="89"/>
    </row>
    <row r="85" spans="1:25" s="9" customFormat="1" ht="14.45" customHeight="1" x14ac:dyDescent="0.25">
      <c r="A85" s="25" t="s">
        <v>147</v>
      </c>
      <c r="B85" s="25" t="s">
        <v>149</v>
      </c>
      <c r="C85" s="42" t="s">
        <v>83</v>
      </c>
      <c r="D85" s="42" t="s">
        <v>67</v>
      </c>
      <c r="E85" s="42" t="s">
        <v>96</v>
      </c>
      <c r="F85" s="56" t="s">
        <v>9</v>
      </c>
      <c r="G85" s="56" t="str">
        <f t="shared" si="0"/>
        <v>Bérköltség</v>
      </c>
      <c r="H85" s="25" t="s">
        <v>15</v>
      </c>
      <c r="I85" s="57">
        <v>916000</v>
      </c>
      <c r="J85" s="57">
        <f t="shared" si="84"/>
        <v>119080</v>
      </c>
      <c r="K85" s="58">
        <v>174</v>
      </c>
      <c r="L85" s="58">
        <v>87</v>
      </c>
      <c r="M85" s="168">
        <f t="shared" si="85"/>
        <v>0.5</v>
      </c>
      <c r="N85" s="88">
        <f t="shared" si="86"/>
        <v>458000</v>
      </c>
      <c r="O85" s="88">
        <f t="shared" si="87"/>
        <v>59540</v>
      </c>
      <c r="P85" s="100">
        <f t="shared" si="88"/>
        <v>0</v>
      </c>
      <c r="Q85" s="60">
        <v>0.13</v>
      </c>
      <c r="R85" s="187" t="s">
        <v>162</v>
      </c>
      <c r="S85" s="67"/>
      <c r="T85" s="43" t="s">
        <v>224</v>
      </c>
      <c r="U85" s="89"/>
      <c r="V85" s="89"/>
    </row>
    <row r="86" spans="1:25" s="9" customFormat="1" ht="14.45" customHeight="1" x14ac:dyDescent="0.25">
      <c r="A86" s="25" t="s">
        <v>227</v>
      </c>
      <c r="B86" s="25" t="s">
        <v>149</v>
      </c>
      <c r="C86" s="42" t="s">
        <v>83</v>
      </c>
      <c r="D86" s="42" t="s">
        <v>67</v>
      </c>
      <c r="E86" s="42" t="s">
        <v>88</v>
      </c>
      <c r="F86" s="56" t="s">
        <v>8</v>
      </c>
      <c r="G86" s="56" t="str">
        <f t="shared" si="0"/>
        <v>Bérköltség</v>
      </c>
      <c r="H86" s="25" t="s">
        <v>15</v>
      </c>
      <c r="I86" s="57">
        <v>120000</v>
      </c>
      <c r="J86" s="57">
        <f t="shared" si="84"/>
        <v>15600</v>
      </c>
      <c r="K86" s="58">
        <v>44</v>
      </c>
      <c r="L86" s="58">
        <v>44</v>
      </c>
      <c r="M86" s="168">
        <f t="shared" si="85"/>
        <v>1</v>
      </c>
      <c r="N86" s="88">
        <f t="shared" si="86"/>
        <v>120000</v>
      </c>
      <c r="O86" s="88">
        <f t="shared" si="87"/>
        <v>15600</v>
      </c>
      <c r="P86" s="100">
        <f t="shared" si="88"/>
        <v>0</v>
      </c>
      <c r="Q86" s="60">
        <v>0.13</v>
      </c>
      <c r="R86" s="187" t="s">
        <v>228</v>
      </c>
      <c r="S86" s="67">
        <v>44963</v>
      </c>
      <c r="T86" s="43" t="s">
        <v>224</v>
      </c>
      <c r="U86" s="89"/>
      <c r="V86" s="89"/>
      <c r="W86" s="9" t="str">
        <f>IF(VLOOKUP($R86,'Havi béradatok'!$B:$E,2,FALSE)=D86,"EGYEZIK","HIBÁS")</f>
        <v>EGYEZIK</v>
      </c>
      <c r="X86" s="9">
        <f>VLOOKUP($R86,'Havi béradatok'!$B:$E,3,FALSE)-I86</f>
        <v>0</v>
      </c>
      <c r="Y86" s="9">
        <f>VLOOKUP($R86,'Havi béradatok'!$B:$E,4,FALSE)-J86</f>
        <v>0</v>
      </c>
    </row>
    <row r="87" spans="1:25" s="9" customFormat="1" ht="14.45" customHeight="1" x14ac:dyDescent="0.25">
      <c r="A87" s="25" t="s">
        <v>227</v>
      </c>
      <c r="B87" s="25" t="s">
        <v>149</v>
      </c>
      <c r="C87" s="42" t="s">
        <v>83</v>
      </c>
      <c r="D87" s="42" t="s">
        <v>67</v>
      </c>
      <c r="E87" s="42" t="s">
        <v>89</v>
      </c>
      <c r="F87" s="56" t="s">
        <v>9</v>
      </c>
      <c r="G87" s="56" t="str">
        <f t="shared" si="0"/>
        <v>Bérköltség</v>
      </c>
      <c r="H87" s="25" t="s">
        <v>15</v>
      </c>
      <c r="I87" s="57">
        <v>120000</v>
      </c>
      <c r="J87" s="57">
        <f t="shared" ref="J87:J89" si="89">ROUND(I87*Q87,0)</f>
        <v>15600</v>
      </c>
      <c r="K87" s="58">
        <v>44</v>
      </c>
      <c r="L87" s="58">
        <v>44</v>
      </c>
      <c r="M87" s="168">
        <f t="shared" ref="M87:M89" si="90">L87/K87</f>
        <v>1</v>
      </c>
      <c r="N87" s="88">
        <f t="shared" ref="N87:N89" si="91">ROUND(I87*M87,0)</f>
        <v>120000</v>
      </c>
      <c r="O87" s="88">
        <f t="shared" ref="O87:O89" si="92">ROUND(N87*Q87,0)</f>
        <v>15600</v>
      </c>
      <c r="P87" s="100">
        <f t="shared" ref="P87:P89" si="93">L87/K87-N87/I87</f>
        <v>0</v>
      </c>
      <c r="Q87" s="60">
        <v>0.13</v>
      </c>
      <c r="R87" s="187" t="s">
        <v>228</v>
      </c>
      <c r="S87" s="67">
        <v>44963</v>
      </c>
      <c r="T87" s="43" t="s">
        <v>224</v>
      </c>
      <c r="U87" s="89"/>
      <c r="V87" s="89"/>
    </row>
    <row r="88" spans="1:25" s="9" customFormat="1" ht="14.45" customHeight="1" x14ac:dyDescent="0.25">
      <c r="A88" s="25" t="s">
        <v>227</v>
      </c>
      <c r="B88" s="25" t="s">
        <v>149</v>
      </c>
      <c r="C88" s="42" t="s">
        <v>83</v>
      </c>
      <c r="D88" s="42" t="s">
        <v>67</v>
      </c>
      <c r="E88" s="42" t="s">
        <v>90</v>
      </c>
      <c r="F88" s="56" t="s">
        <v>9</v>
      </c>
      <c r="G88" s="56" t="str">
        <f t="shared" si="0"/>
        <v>Bérköltség</v>
      </c>
      <c r="H88" s="25" t="s">
        <v>15</v>
      </c>
      <c r="I88" s="57">
        <v>120000</v>
      </c>
      <c r="J88" s="57">
        <f t="shared" si="89"/>
        <v>15600</v>
      </c>
      <c r="K88" s="58">
        <v>44</v>
      </c>
      <c r="L88" s="58">
        <v>44</v>
      </c>
      <c r="M88" s="168">
        <f t="shared" si="90"/>
        <v>1</v>
      </c>
      <c r="N88" s="88">
        <f t="shared" si="91"/>
        <v>120000</v>
      </c>
      <c r="O88" s="88">
        <f t="shared" si="92"/>
        <v>15600</v>
      </c>
      <c r="P88" s="100">
        <f t="shared" si="93"/>
        <v>0</v>
      </c>
      <c r="Q88" s="60">
        <v>0.13</v>
      </c>
      <c r="R88" s="187" t="s">
        <v>228</v>
      </c>
      <c r="S88" s="67">
        <v>44963</v>
      </c>
      <c r="T88" s="43" t="s">
        <v>224</v>
      </c>
      <c r="U88" s="89"/>
      <c r="V88" s="89"/>
    </row>
    <row r="89" spans="1:25" s="9" customFormat="1" ht="14.45" customHeight="1" x14ac:dyDescent="0.25">
      <c r="A89" s="25" t="s">
        <v>227</v>
      </c>
      <c r="B89" s="25" t="s">
        <v>149</v>
      </c>
      <c r="C89" s="42" t="s">
        <v>83</v>
      </c>
      <c r="D89" s="42" t="s">
        <v>67</v>
      </c>
      <c r="E89" s="42" t="s">
        <v>91</v>
      </c>
      <c r="F89" s="56" t="s">
        <v>9</v>
      </c>
      <c r="G89" s="56" t="str">
        <f t="shared" si="0"/>
        <v>Bérköltség</v>
      </c>
      <c r="H89" s="25" t="s">
        <v>15</v>
      </c>
      <c r="I89" s="57">
        <v>120000</v>
      </c>
      <c r="J89" s="57">
        <f t="shared" si="89"/>
        <v>15600</v>
      </c>
      <c r="K89" s="58">
        <v>44</v>
      </c>
      <c r="L89" s="58">
        <v>44</v>
      </c>
      <c r="M89" s="168">
        <f t="shared" si="90"/>
        <v>1</v>
      </c>
      <c r="N89" s="88">
        <f t="shared" si="91"/>
        <v>120000</v>
      </c>
      <c r="O89" s="88">
        <f t="shared" si="92"/>
        <v>15600</v>
      </c>
      <c r="P89" s="100">
        <f t="shared" si="93"/>
        <v>0</v>
      </c>
      <c r="Q89" s="60">
        <v>0.13</v>
      </c>
      <c r="R89" s="187" t="s">
        <v>228</v>
      </c>
      <c r="S89" s="67">
        <v>44963</v>
      </c>
      <c r="T89" s="43" t="s">
        <v>224</v>
      </c>
      <c r="U89" s="89"/>
      <c r="V89" s="89"/>
    </row>
    <row r="90" spans="1:25" s="9" customFormat="1" ht="14.45" customHeight="1" x14ac:dyDescent="0.25">
      <c r="A90" s="25" t="s">
        <v>169</v>
      </c>
      <c r="B90" s="25" t="s">
        <v>149</v>
      </c>
      <c r="C90" s="42" t="s">
        <v>83</v>
      </c>
      <c r="D90" s="42" t="s">
        <v>165</v>
      </c>
      <c r="E90" s="169" t="s">
        <v>254</v>
      </c>
      <c r="F90" s="56" t="s">
        <v>8</v>
      </c>
      <c r="G90" s="56" t="str">
        <f t="shared" ref="G90:G143" si="94">IF(H90="Napidíj","Nem rendszeres juttatás","Bérköltség")</f>
        <v>Bérköltség</v>
      </c>
      <c r="H90" s="25" t="s">
        <v>15</v>
      </c>
      <c r="I90" s="57">
        <v>288000</v>
      </c>
      <c r="J90" s="57">
        <f>ROUND(I90*Q90,0)</f>
        <v>37440</v>
      </c>
      <c r="K90" s="58">
        <v>87</v>
      </c>
      <c r="L90" s="58">
        <v>87</v>
      </c>
      <c r="M90" s="168">
        <f>L90/K90</f>
        <v>1</v>
      </c>
      <c r="N90" s="88">
        <f>ROUND(I90*M90,0)</f>
        <v>288000</v>
      </c>
      <c r="O90" s="88">
        <f>ROUND(N90*Q90,0)</f>
        <v>37440</v>
      </c>
      <c r="P90" s="100">
        <f t="shared" si="88"/>
        <v>0</v>
      </c>
      <c r="Q90" s="60">
        <v>0.13</v>
      </c>
      <c r="R90" s="187" t="s">
        <v>170</v>
      </c>
      <c r="S90" s="67">
        <v>44951</v>
      </c>
      <c r="T90" s="43" t="s">
        <v>224</v>
      </c>
      <c r="U90" s="89"/>
      <c r="V90" s="89"/>
    </row>
    <row r="91" spans="1:25" s="9" customFormat="1" ht="14.45" customHeight="1" x14ac:dyDescent="0.25">
      <c r="A91" s="25" t="s">
        <v>169</v>
      </c>
      <c r="B91" s="25" t="s">
        <v>149</v>
      </c>
      <c r="C91" s="42" t="s">
        <v>83</v>
      </c>
      <c r="D91" s="42" t="s">
        <v>165</v>
      </c>
      <c r="E91" s="42" t="s">
        <v>88</v>
      </c>
      <c r="F91" s="56" t="s">
        <v>8</v>
      </c>
      <c r="G91" s="56" t="str">
        <f t="shared" si="94"/>
        <v>Bérköltség</v>
      </c>
      <c r="H91" s="25" t="s">
        <v>15</v>
      </c>
      <c r="I91" s="57">
        <v>480000</v>
      </c>
      <c r="J91" s="57">
        <f t="shared" ref="J91:J99" si="95">ROUND(I91*Q91,0)</f>
        <v>62400</v>
      </c>
      <c r="K91" s="58">
        <v>87</v>
      </c>
      <c r="L91" s="58">
        <v>87</v>
      </c>
      <c r="M91" s="168">
        <f t="shared" ref="M91:M99" si="96">L91/K91</f>
        <v>1</v>
      </c>
      <c r="N91" s="88">
        <f t="shared" ref="N91:N99" si="97">ROUND(I91*M91,0)</f>
        <v>480000</v>
      </c>
      <c r="O91" s="88">
        <f t="shared" ref="O91:O99" si="98">ROUND(N91*Q91,0)</f>
        <v>62400</v>
      </c>
      <c r="P91" s="100">
        <f t="shared" ref="P91:P134" si="99">L91/K91-N91/I91</f>
        <v>0</v>
      </c>
      <c r="Q91" s="60">
        <v>0.13</v>
      </c>
      <c r="R91" s="187" t="s">
        <v>170</v>
      </c>
      <c r="S91" s="67">
        <v>44951</v>
      </c>
      <c r="T91" s="43" t="s">
        <v>224</v>
      </c>
      <c r="U91" s="89"/>
      <c r="V91" s="89"/>
      <c r="W91" s="9" t="str">
        <f>IF(VLOOKUP($R91,'Havi béradatok'!$B:$E,2,FALSE)=D91,"EGYEZIK","HIBÁS")</f>
        <v>EGYEZIK</v>
      </c>
      <c r="X91" s="9">
        <f>VLOOKUP($R91,'Havi béradatok'!$B:$E,3,FALSE)-I91</f>
        <v>0</v>
      </c>
      <c r="Y91" s="9">
        <f>VLOOKUP($R91,'Havi béradatok'!$B:$E,4,FALSE)-J91</f>
        <v>0</v>
      </c>
    </row>
    <row r="92" spans="1:25" s="9" customFormat="1" ht="14.45" customHeight="1" x14ac:dyDescent="0.25">
      <c r="A92" s="25" t="s">
        <v>169</v>
      </c>
      <c r="B92" s="25" t="s">
        <v>149</v>
      </c>
      <c r="C92" s="42" t="s">
        <v>83</v>
      </c>
      <c r="D92" s="42" t="s">
        <v>165</v>
      </c>
      <c r="E92" s="42" t="s">
        <v>89</v>
      </c>
      <c r="F92" s="56" t="s">
        <v>9</v>
      </c>
      <c r="G92" s="56" t="str">
        <f t="shared" si="94"/>
        <v>Bérköltség</v>
      </c>
      <c r="H92" s="25" t="s">
        <v>15</v>
      </c>
      <c r="I92" s="57">
        <v>480000</v>
      </c>
      <c r="J92" s="57">
        <f t="shared" si="95"/>
        <v>62400</v>
      </c>
      <c r="K92" s="58">
        <v>87</v>
      </c>
      <c r="L92" s="58">
        <v>87</v>
      </c>
      <c r="M92" s="168">
        <f t="shared" si="96"/>
        <v>1</v>
      </c>
      <c r="N92" s="88">
        <f t="shared" si="97"/>
        <v>480000</v>
      </c>
      <c r="O92" s="88">
        <f t="shared" si="98"/>
        <v>62400</v>
      </c>
      <c r="P92" s="100">
        <f t="shared" si="99"/>
        <v>0</v>
      </c>
      <c r="Q92" s="60">
        <v>0.13</v>
      </c>
      <c r="R92" s="187" t="s">
        <v>170</v>
      </c>
      <c r="S92" s="67">
        <v>44951</v>
      </c>
      <c r="T92" s="43" t="s">
        <v>224</v>
      </c>
      <c r="U92" s="89"/>
      <c r="V92" s="89"/>
    </row>
    <row r="93" spans="1:25" s="9" customFormat="1" ht="14.45" customHeight="1" x14ac:dyDescent="0.25">
      <c r="A93" s="25" t="s">
        <v>169</v>
      </c>
      <c r="B93" s="25" t="s">
        <v>149</v>
      </c>
      <c r="C93" s="42" t="s">
        <v>83</v>
      </c>
      <c r="D93" s="42" t="s">
        <v>165</v>
      </c>
      <c r="E93" s="42" t="s">
        <v>90</v>
      </c>
      <c r="F93" s="56" t="s">
        <v>9</v>
      </c>
      <c r="G93" s="56" t="str">
        <f t="shared" si="94"/>
        <v>Bérköltség</v>
      </c>
      <c r="H93" s="25" t="s">
        <v>15</v>
      </c>
      <c r="I93" s="57">
        <v>480000</v>
      </c>
      <c r="J93" s="57">
        <f t="shared" si="95"/>
        <v>62400</v>
      </c>
      <c r="K93" s="58">
        <v>87</v>
      </c>
      <c r="L93" s="58">
        <v>87</v>
      </c>
      <c r="M93" s="168">
        <f t="shared" si="96"/>
        <v>1</v>
      </c>
      <c r="N93" s="88">
        <f t="shared" si="97"/>
        <v>480000</v>
      </c>
      <c r="O93" s="88">
        <f t="shared" si="98"/>
        <v>62400</v>
      </c>
      <c r="P93" s="100">
        <f t="shared" si="99"/>
        <v>0</v>
      </c>
      <c r="Q93" s="60">
        <v>0.13</v>
      </c>
      <c r="R93" s="187" t="s">
        <v>170</v>
      </c>
      <c r="S93" s="67">
        <v>44951</v>
      </c>
      <c r="T93" s="43" t="s">
        <v>224</v>
      </c>
      <c r="U93" s="89"/>
      <c r="V93" s="89"/>
    </row>
    <row r="94" spans="1:25" s="9" customFormat="1" ht="14.45" customHeight="1" x14ac:dyDescent="0.25">
      <c r="A94" s="25" t="s">
        <v>169</v>
      </c>
      <c r="B94" s="25" t="s">
        <v>149</v>
      </c>
      <c r="C94" s="42" t="s">
        <v>83</v>
      </c>
      <c r="D94" s="42" t="s">
        <v>165</v>
      </c>
      <c r="E94" s="42" t="s">
        <v>91</v>
      </c>
      <c r="F94" s="56" t="s">
        <v>9</v>
      </c>
      <c r="G94" s="56" t="str">
        <f t="shared" si="94"/>
        <v>Bérköltség</v>
      </c>
      <c r="H94" s="25" t="s">
        <v>15</v>
      </c>
      <c r="I94" s="57">
        <v>480000</v>
      </c>
      <c r="J94" s="57">
        <f t="shared" si="95"/>
        <v>62400</v>
      </c>
      <c r="K94" s="58">
        <v>87</v>
      </c>
      <c r="L94" s="58">
        <v>87</v>
      </c>
      <c r="M94" s="168">
        <f t="shared" si="96"/>
        <v>1</v>
      </c>
      <c r="N94" s="88">
        <f t="shared" si="97"/>
        <v>480000</v>
      </c>
      <c r="O94" s="88">
        <f t="shared" si="98"/>
        <v>62400</v>
      </c>
      <c r="P94" s="100">
        <f t="shared" si="99"/>
        <v>0</v>
      </c>
      <c r="Q94" s="60">
        <v>0.13</v>
      </c>
      <c r="R94" s="187" t="s">
        <v>170</v>
      </c>
      <c r="S94" s="67">
        <v>44951</v>
      </c>
      <c r="T94" s="43" t="s">
        <v>224</v>
      </c>
      <c r="U94" s="89"/>
      <c r="V94" s="89"/>
    </row>
    <row r="95" spans="1:25" s="9" customFormat="1" ht="14.45" customHeight="1" x14ac:dyDescent="0.25">
      <c r="A95" s="25" t="s">
        <v>169</v>
      </c>
      <c r="B95" s="25" t="s">
        <v>149</v>
      </c>
      <c r="C95" s="42" t="s">
        <v>83</v>
      </c>
      <c r="D95" s="42" t="s">
        <v>165</v>
      </c>
      <c r="E95" s="42" t="s">
        <v>92</v>
      </c>
      <c r="F95" s="56" t="s">
        <v>9</v>
      </c>
      <c r="G95" s="56" t="str">
        <f t="shared" si="94"/>
        <v>Bérköltség</v>
      </c>
      <c r="H95" s="25" t="s">
        <v>15</v>
      </c>
      <c r="I95" s="57">
        <v>480000</v>
      </c>
      <c r="J95" s="57">
        <f t="shared" si="95"/>
        <v>62400</v>
      </c>
      <c r="K95" s="58">
        <v>87</v>
      </c>
      <c r="L95" s="58">
        <v>87</v>
      </c>
      <c r="M95" s="168">
        <f t="shared" si="96"/>
        <v>1</v>
      </c>
      <c r="N95" s="88">
        <f t="shared" si="97"/>
        <v>480000</v>
      </c>
      <c r="O95" s="88">
        <f t="shared" si="98"/>
        <v>62400</v>
      </c>
      <c r="P95" s="100">
        <f t="shared" si="99"/>
        <v>0</v>
      </c>
      <c r="Q95" s="60">
        <v>0.13</v>
      </c>
      <c r="R95" s="187" t="s">
        <v>170</v>
      </c>
      <c r="S95" s="67">
        <v>44951</v>
      </c>
      <c r="T95" s="43" t="s">
        <v>224</v>
      </c>
      <c r="U95" s="89"/>
      <c r="V95" s="89"/>
    </row>
    <row r="96" spans="1:25" s="9" customFormat="1" ht="14.45" customHeight="1" x14ac:dyDescent="0.25">
      <c r="A96" s="25" t="s">
        <v>169</v>
      </c>
      <c r="B96" s="25" t="s">
        <v>149</v>
      </c>
      <c r="C96" s="42" t="s">
        <v>83</v>
      </c>
      <c r="D96" s="42" t="s">
        <v>165</v>
      </c>
      <c r="E96" s="42" t="s">
        <v>93</v>
      </c>
      <c r="F96" s="56" t="s">
        <v>9</v>
      </c>
      <c r="G96" s="56" t="str">
        <f t="shared" si="94"/>
        <v>Bérköltség</v>
      </c>
      <c r="H96" s="25" t="s">
        <v>15</v>
      </c>
      <c r="I96" s="57">
        <v>480000</v>
      </c>
      <c r="J96" s="57">
        <f t="shared" si="95"/>
        <v>62400</v>
      </c>
      <c r="K96" s="58">
        <v>87</v>
      </c>
      <c r="L96" s="58">
        <v>87</v>
      </c>
      <c r="M96" s="168">
        <f t="shared" si="96"/>
        <v>1</v>
      </c>
      <c r="N96" s="88">
        <f t="shared" si="97"/>
        <v>480000</v>
      </c>
      <c r="O96" s="88">
        <f t="shared" si="98"/>
        <v>62400</v>
      </c>
      <c r="P96" s="100">
        <f t="shared" si="99"/>
        <v>0</v>
      </c>
      <c r="Q96" s="60">
        <v>0.13</v>
      </c>
      <c r="R96" s="187" t="s">
        <v>170</v>
      </c>
      <c r="S96" s="67">
        <v>44951</v>
      </c>
      <c r="T96" s="43" t="s">
        <v>224</v>
      </c>
      <c r="U96" s="89"/>
      <c r="V96" s="89"/>
    </row>
    <row r="97" spans="1:25" s="9" customFormat="1" ht="14.45" customHeight="1" x14ac:dyDescent="0.25">
      <c r="A97" s="25" t="s">
        <v>169</v>
      </c>
      <c r="B97" s="25" t="s">
        <v>149</v>
      </c>
      <c r="C97" s="42" t="s">
        <v>83</v>
      </c>
      <c r="D97" s="42" t="s">
        <v>165</v>
      </c>
      <c r="E97" s="42" t="s">
        <v>94</v>
      </c>
      <c r="F97" s="56" t="s">
        <v>9</v>
      </c>
      <c r="G97" s="56" t="str">
        <f t="shared" si="94"/>
        <v>Bérköltség</v>
      </c>
      <c r="H97" s="25" t="s">
        <v>15</v>
      </c>
      <c r="I97" s="57">
        <v>480000</v>
      </c>
      <c r="J97" s="57">
        <f t="shared" si="95"/>
        <v>62400</v>
      </c>
      <c r="K97" s="58">
        <v>87</v>
      </c>
      <c r="L97" s="58">
        <v>87</v>
      </c>
      <c r="M97" s="168">
        <f t="shared" si="96"/>
        <v>1</v>
      </c>
      <c r="N97" s="88">
        <f t="shared" si="97"/>
        <v>480000</v>
      </c>
      <c r="O97" s="88">
        <f t="shared" si="98"/>
        <v>62400</v>
      </c>
      <c r="P97" s="100">
        <f t="shared" si="99"/>
        <v>0</v>
      </c>
      <c r="Q97" s="60">
        <v>0.13</v>
      </c>
      <c r="R97" s="187" t="s">
        <v>170</v>
      </c>
      <c r="S97" s="67">
        <v>44951</v>
      </c>
      <c r="T97" s="43" t="s">
        <v>224</v>
      </c>
      <c r="U97" s="89"/>
      <c r="V97" s="89"/>
    </row>
    <row r="98" spans="1:25" s="9" customFormat="1" ht="14.45" customHeight="1" x14ac:dyDescent="0.25">
      <c r="A98" s="25" t="s">
        <v>169</v>
      </c>
      <c r="B98" s="25" t="s">
        <v>149</v>
      </c>
      <c r="C98" s="42" t="s">
        <v>83</v>
      </c>
      <c r="D98" s="42" t="s">
        <v>165</v>
      </c>
      <c r="E98" s="42" t="s">
        <v>95</v>
      </c>
      <c r="F98" s="56" t="s">
        <v>9</v>
      </c>
      <c r="G98" s="56" t="str">
        <f t="shared" si="94"/>
        <v>Bérköltség</v>
      </c>
      <c r="H98" s="25" t="s">
        <v>15</v>
      </c>
      <c r="I98" s="57">
        <v>480000</v>
      </c>
      <c r="J98" s="57">
        <f t="shared" si="95"/>
        <v>62400</v>
      </c>
      <c r="K98" s="58">
        <v>87</v>
      </c>
      <c r="L98" s="58">
        <v>87</v>
      </c>
      <c r="M98" s="168">
        <f t="shared" si="96"/>
        <v>1</v>
      </c>
      <c r="N98" s="88">
        <f t="shared" si="97"/>
        <v>480000</v>
      </c>
      <c r="O98" s="88">
        <f t="shared" si="98"/>
        <v>62400</v>
      </c>
      <c r="P98" s="100">
        <f t="shared" si="99"/>
        <v>0</v>
      </c>
      <c r="Q98" s="60">
        <v>0.13</v>
      </c>
      <c r="R98" s="187" t="s">
        <v>170</v>
      </c>
      <c r="S98" s="67">
        <v>44951</v>
      </c>
      <c r="T98" s="43" t="s">
        <v>224</v>
      </c>
      <c r="U98" s="89"/>
      <c r="V98" s="89"/>
    </row>
    <row r="99" spans="1:25" s="9" customFormat="1" ht="14.45" customHeight="1" x14ac:dyDescent="0.25">
      <c r="A99" s="25" t="s">
        <v>169</v>
      </c>
      <c r="B99" s="25" t="s">
        <v>149</v>
      </c>
      <c r="C99" s="42" t="s">
        <v>83</v>
      </c>
      <c r="D99" s="42" t="s">
        <v>165</v>
      </c>
      <c r="E99" s="42" t="s">
        <v>96</v>
      </c>
      <c r="F99" s="56" t="s">
        <v>9</v>
      </c>
      <c r="G99" s="56" t="str">
        <f t="shared" si="94"/>
        <v>Bérköltség</v>
      </c>
      <c r="H99" s="25" t="s">
        <v>15</v>
      </c>
      <c r="I99" s="57">
        <v>480000</v>
      </c>
      <c r="J99" s="57">
        <f t="shared" si="95"/>
        <v>62400</v>
      </c>
      <c r="K99" s="58">
        <v>87</v>
      </c>
      <c r="L99" s="58">
        <v>87</v>
      </c>
      <c r="M99" s="168">
        <f t="shared" si="96"/>
        <v>1</v>
      </c>
      <c r="N99" s="88">
        <f t="shared" si="97"/>
        <v>480000</v>
      </c>
      <c r="O99" s="88">
        <f t="shared" si="98"/>
        <v>62400</v>
      </c>
      <c r="P99" s="100">
        <f t="shared" si="99"/>
        <v>0</v>
      </c>
      <c r="Q99" s="60">
        <v>0.13</v>
      </c>
      <c r="R99" s="187" t="s">
        <v>170</v>
      </c>
      <c r="S99" s="67">
        <v>44951</v>
      </c>
      <c r="T99" s="43" t="s">
        <v>224</v>
      </c>
      <c r="U99" s="89"/>
      <c r="V99" s="89"/>
    </row>
    <row r="100" spans="1:25" s="9" customFormat="1" ht="14.45" customHeight="1" x14ac:dyDescent="0.25">
      <c r="A100" s="25" t="s">
        <v>235</v>
      </c>
      <c r="B100" s="25" t="s">
        <v>149</v>
      </c>
      <c r="C100" s="42" t="s">
        <v>83</v>
      </c>
      <c r="D100" s="42" t="s">
        <v>165</v>
      </c>
      <c r="E100" s="42" t="s">
        <v>88</v>
      </c>
      <c r="F100" s="56" t="s">
        <v>8</v>
      </c>
      <c r="G100" s="56" t="str">
        <f t="shared" ref="G100" si="100">IF(H100="Napidíj","Nem rendszeres juttatás","Bérköltség")</f>
        <v>Bérköltség</v>
      </c>
      <c r="H100" s="25" t="s">
        <v>15</v>
      </c>
      <c r="I100" s="57">
        <v>1590000</v>
      </c>
      <c r="J100" s="57">
        <f t="shared" ref="J100" si="101">ROUND(I100*Q100,0)</f>
        <v>206700</v>
      </c>
      <c r="K100" s="58">
        <v>174</v>
      </c>
      <c r="L100" s="58">
        <v>23</v>
      </c>
      <c r="M100" s="168">
        <f t="shared" ref="M100" si="102">L100/K100</f>
        <v>0.13218390804597702</v>
      </c>
      <c r="N100" s="88">
        <f t="shared" ref="N100" si="103">ROUND(I100*M100,0)</f>
        <v>210172</v>
      </c>
      <c r="O100" s="88">
        <f t="shared" ref="O100" si="104">ROUND(N100*Q100,0)</f>
        <v>27322</v>
      </c>
      <c r="P100" s="100">
        <f t="shared" ref="P100" si="105">L100/K100-N100/I100</f>
        <v>2.6024723487338974E-7</v>
      </c>
      <c r="Q100" s="60">
        <v>0.13</v>
      </c>
      <c r="R100" s="187" t="s">
        <v>236</v>
      </c>
      <c r="S100" s="67">
        <v>44981</v>
      </c>
      <c r="T100" s="43" t="s">
        <v>224</v>
      </c>
      <c r="U100" s="89"/>
      <c r="V100" s="89"/>
      <c r="W100" s="9" t="str">
        <f>IF(VLOOKUP($R100,'Havi béradatok'!$B:$E,2,FALSE)=D100,"EGYEZIK","HIBÁS")</f>
        <v>EGYEZIK</v>
      </c>
      <c r="X100" s="9">
        <f>VLOOKUP($R100,'Havi béradatok'!$B:$E,3,FALSE)-I100</f>
        <v>0</v>
      </c>
      <c r="Y100" s="9">
        <f>VLOOKUP($R100,'Havi béradatok'!$B:$E,4,FALSE)-J100</f>
        <v>0</v>
      </c>
    </row>
    <row r="101" spans="1:25" s="9" customFormat="1" ht="14.45" customHeight="1" x14ac:dyDescent="0.25">
      <c r="A101" s="25" t="s">
        <v>235</v>
      </c>
      <c r="B101" s="25" t="s">
        <v>149</v>
      </c>
      <c r="C101" s="42" t="s">
        <v>83</v>
      </c>
      <c r="D101" s="42" t="s">
        <v>165</v>
      </c>
      <c r="E101" s="42" t="s">
        <v>89</v>
      </c>
      <c r="F101" s="56" t="s">
        <v>9</v>
      </c>
      <c r="G101" s="56" t="str">
        <f t="shared" ref="G101:G105" si="106">IF(H101="Napidíj","Nem rendszeres juttatás","Bérköltség")</f>
        <v>Bérköltség</v>
      </c>
      <c r="H101" s="25" t="s">
        <v>15</v>
      </c>
      <c r="I101" s="57">
        <v>1590000</v>
      </c>
      <c r="J101" s="57">
        <f t="shared" ref="J101:J105" si="107">ROUND(I101*Q101,0)</f>
        <v>206700</v>
      </c>
      <c r="K101" s="58">
        <v>174</v>
      </c>
      <c r="L101" s="58">
        <v>23</v>
      </c>
      <c r="M101" s="168">
        <f t="shared" ref="M101:M105" si="108">L101/K101</f>
        <v>0.13218390804597702</v>
      </c>
      <c r="N101" s="88">
        <f t="shared" ref="N101:N105" si="109">ROUND(I101*M101,0)</f>
        <v>210172</v>
      </c>
      <c r="O101" s="88">
        <f t="shared" ref="O101:O105" si="110">ROUND(N101*Q101,0)</f>
        <v>27322</v>
      </c>
      <c r="P101" s="100">
        <f t="shared" ref="P101:P105" si="111">L101/K101-N101/I101</f>
        <v>2.6024723487338974E-7</v>
      </c>
      <c r="Q101" s="60">
        <v>0.13</v>
      </c>
      <c r="R101" s="187" t="s">
        <v>236</v>
      </c>
      <c r="S101" s="67">
        <v>44981</v>
      </c>
      <c r="T101" s="43" t="s">
        <v>224</v>
      </c>
      <c r="U101" s="89"/>
      <c r="V101" s="89"/>
    </row>
    <row r="102" spans="1:25" s="9" customFormat="1" ht="14.45" customHeight="1" x14ac:dyDescent="0.25">
      <c r="A102" s="25" t="s">
        <v>235</v>
      </c>
      <c r="B102" s="25" t="s">
        <v>149</v>
      </c>
      <c r="C102" s="42" t="s">
        <v>83</v>
      </c>
      <c r="D102" s="42" t="s">
        <v>165</v>
      </c>
      <c r="E102" s="42" t="s">
        <v>90</v>
      </c>
      <c r="F102" s="56" t="s">
        <v>9</v>
      </c>
      <c r="G102" s="56" t="str">
        <f t="shared" si="106"/>
        <v>Bérköltség</v>
      </c>
      <c r="H102" s="25" t="s">
        <v>15</v>
      </c>
      <c r="I102" s="57">
        <v>1590000</v>
      </c>
      <c r="J102" s="57">
        <f t="shared" si="107"/>
        <v>206700</v>
      </c>
      <c r="K102" s="58">
        <v>174</v>
      </c>
      <c r="L102" s="58">
        <v>23</v>
      </c>
      <c r="M102" s="168">
        <f t="shared" si="108"/>
        <v>0.13218390804597702</v>
      </c>
      <c r="N102" s="88">
        <f t="shared" si="109"/>
        <v>210172</v>
      </c>
      <c r="O102" s="88">
        <f t="shared" si="110"/>
        <v>27322</v>
      </c>
      <c r="P102" s="100">
        <f t="shared" si="111"/>
        <v>2.6024723487338974E-7</v>
      </c>
      <c r="Q102" s="60">
        <v>0.13</v>
      </c>
      <c r="R102" s="187" t="s">
        <v>236</v>
      </c>
      <c r="S102" s="67">
        <v>44981</v>
      </c>
      <c r="T102" s="43" t="s">
        <v>224</v>
      </c>
      <c r="U102" s="89"/>
      <c r="V102" s="89"/>
    </row>
    <row r="103" spans="1:25" s="9" customFormat="1" ht="14.45" customHeight="1" x14ac:dyDescent="0.25">
      <c r="A103" s="25" t="s">
        <v>235</v>
      </c>
      <c r="B103" s="25" t="s">
        <v>149</v>
      </c>
      <c r="C103" s="42" t="s">
        <v>83</v>
      </c>
      <c r="D103" s="42" t="s">
        <v>165</v>
      </c>
      <c r="E103" s="42" t="s">
        <v>91</v>
      </c>
      <c r="F103" s="56" t="s">
        <v>9</v>
      </c>
      <c r="G103" s="56" t="str">
        <f t="shared" si="106"/>
        <v>Bérköltség</v>
      </c>
      <c r="H103" s="25" t="s">
        <v>15</v>
      </c>
      <c r="I103" s="57">
        <v>1590000</v>
      </c>
      <c r="J103" s="57">
        <f t="shared" si="107"/>
        <v>206700</v>
      </c>
      <c r="K103" s="58">
        <v>174</v>
      </c>
      <c r="L103" s="58">
        <v>23</v>
      </c>
      <c r="M103" s="168">
        <f t="shared" si="108"/>
        <v>0.13218390804597702</v>
      </c>
      <c r="N103" s="88">
        <f t="shared" si="109"/>
        <v>210172</v>
      </c>
      <c r="O103" s="88">
        <f t="shared" si="110"/>
        <v>27322</v>
      </c>
      <c r="P103" s="100">
        <f t="shared" si="111"/>
        <v>2.6024723487338974E-7</v>
      </c>
      <c r="Q103" s="60">
        <v>0.13</v>
      </c>
      <c r="R103" s="187" t="s">
        <v>236</v>
      </c>
      <c r="S103" s="67">
        <v>44981</v>
      </c>
      <c r="T103" s="43" t="s">
        <v>224</v>
      </c>
      <c r="U103" s="89"/>
      <c r="V103" s="89"/>
    </row>
    <row r="104" spans="1:25" s="9" customFormat="1" ht="14.45" customHeight="1" x14ac:dyDescent="0.25">
      <c r="A104" s="25" t="s">
        <v>235</v>
      </c>
      <c r="B104" s="25" t="s">
        <v>149</v>
      </c>
      <c r="C104" s="42" t="s">
        <v>83</v>
      </c>
      <c r="D104" s="42" t="s">
        <v>165</v>
      </c>
      <c r="E104" s="42" t="s">
        <v>92</v>
      </c>
      <c r="F104" s="56" t="s">
        <v>9</v>
      </c>
      <c r="G104" s="56" t="str">
        <f t="shared" si="106"/>
        <v>Bérköltség</v>
      </c>
      <c r="H104" s="25" t="s">
        <v>15</v>
      </c>
      <c r="I104" s="57">
        <v>1590000</v>
      </c>
      <c r="J104" s="57">
        <f t="shared" si="107"/>
        <v>206700</v>
      </c>
      <c r="K104" s="58">
        <v>174</v>
      </c>
      <c r="L104" s="58">
        <v>23</v>
      </c>
      <c r="M104" s="168">
        <f t="shared" si="108"/>
        <v>0.13218390804597702</v>
      </c>
      <c r="N104" s="88">
        <f t="shared" si="109"/>
        <v>210172</v>
      </c>
      <c r="O104" s="88">
        <f t="shared" si="110"/>
        <v>27322</v>
      </c>
      <c r="P104" s="100">
        <f t="shared" si="111"/>
        <v>2.6024723487338974E-7</v>
      </c>
      <c r="Q104" s="60">
        <v>0.13</v>
      </c>
      <c r="R104" s="187" t="s">
        <v>236</v>
      </c>
      <c r="S104" s="67">
        <v>44981</v>
      </c>
      <c r="T104" s="43" t="s">
        <v>224</v>
      </c>
      <c r="U104" s="89"/>
      <c r="V104" s="89"/>
    </row>
    <row r="105" spans="1:25" s="9" customFormat="1" ht="14.45" customHeight="1" x14ac:dyDescent="0.25">
      <c r="A105" s="25" t="s">
        <v>235</v>
      </c>
      <c r="B105" s="25" t="s">
        <v>149</v>
      </c>
      <c r="C105" s="42" t="s">
        <v>83</v>
      </c>
      <c r="D105" s="42" t="s">
        <v>165</v>
      </c>
      <c r="E105" s="42" t="s">
        <v>93</v>
      </c>
      <c r="F105" s="56" t="s">
        <v>9</v>
      </c>
      <c r="G105" s="56" t="str">
        <f t="shared" si="106"/>
        <v>Bérköltség</v>
      </c>
      <c r="H105" s="25" t="s">
        <v>15</v>
      </c>
      <c r="I105" s="57">
        <v>1590000</v>
      </c>
      <c r="J105" s="57">
        <f t="shared" si="107"/>
        <v>206700</v>
      </c>
      <c r="K105" s="58">
        <v>174</v>
      </c>
      <c r="L105" s="58">
        <v>23</v>
      </c>
      <c r="M105" s="168">
        <f t="shared" si="108"/>
        <v>0.13218390804597702</v>
      </c>
      <c r="N105" s="88">
        <f t="shared" si="109"/>
        <v>210172</v>
      </c>
      <c r="O105" s="88">
        <f t="shared" si="110"/>
        <v>27322</v>
      </c>
      <c r="P105" s="100">
        <f t="shared" si="111"/>
        <v>2.6024723487338974E-7</v>
      </c>
      <c r="Q105" s="60">
        <v>0.13</v>
      </c>
      <c r="R105" s="187" t="s">
        <v>236</v>
      </c>
      <c r="S105" s="67">
        <v>44981</v>
      </c>
      <c r="T105" s="43" t="s">
        <v>224</v>
      </c>
      <c r="U105" s="89"/>
      <c r="V105" s="89"/>
    </row>
    <row r="106" spans="1:25" s="9" customFormat="1" ht="14.45" customHeight="1" x14ac:dyDescent="0.25">
      <c r="A106" s="25" t="s">
        <v>183</v>
      </c>
      <c r="B106" s="25" t="s">
        <v>149</v>
      </c>
      <c r="C106" s="42" t="s">
        <v>83</v>
      </c>
      <c r="D106" s="42" t="s">
        <v>178</v>
      </c>
      <c r="E106" s="42" t="s">
        <v>87</v>
      </c>
      <c r="F106" s="56" t="s">
        <v>8</v>
      </c>
      <c r="G106" s="56" t="str">
        <f t="shared" ref="G106" si="112">IF(H106="Napidíj","Nem rendszeres juttatás","Bérköltség")</f>
        <v>Bérköltség</v>
      </c>
      <c r="H106" s="25" t="s">
        <v>15</v>
      </c>
      <c r="I106" s="57">
        <v>950000</v>
      </c>
      <c r="J106" s="57">
        <f t="shared" ref="J106" si="113">ROUND(I106*Q106,0)</f>
        <v>123500</v>
      </c>
      <c r="K106" s="58">
        <v>174</v>
      </c>
      <c r="L106" s="58">
        <v>37</v>
      </c>
      <c r="M106" s="168">
        <f t="shared" ref="M106" si="114">L106/K106</f>
        <v>0.21264367816091953</v>
      </c>
      <c r="N106" s="88">
        <f t="shared" ref="N106" si="115">ROUND(I106*M106,0)</f>
        <v>202011</v>
      </c>
      <c r="O106" s="88">
        <f t="shared" ref="O106" si="116">ROUND(N106*Q106,0)</f>
        <v>26261</v>
      </c>
      <c r="P106" s="100">
        <f t="shared" ref="P106" si="117">L106/K106-N106/I106</f>
        <v>5.202661826908539E-7</v>
      </c>
      <c r="Q106" s="60">
        <v>0.13</v>
      </c>
      <c r="R106" s="187" t="s">
        <v>184</v>
      </c>
      <c r="S106" s="67">
        <v>44957</v>
      </c>
      <c r="T106" s="43" t="s">
        <v>224</v>
      </c>
      <c r="U106" s="89"/>
      <c r="V106" s="89"/>
      <c r="W106" s="9" t="str">
        <f>IF(VLOOKUP($R106,'Havi béradatok'!$B:$E,2,FALSE)=D106,"EGYEZIK","HIBÁS")</f>
        <v>EGYEZIK</v>
      </c>
      <c r="X106" s="9">
        <f>VLOOKUP($R106,'Havi béradatok'!$B:$E,3,FALSE)-I106</f>
        <v>-77727</v>
      </c>
      <c r="Y106" s="9">
        <f>VLOOKUP($R106,'Havi béradatok'!$B:$E,4,FALSE)-J106</f>
        <v>-10105</v>
      </c>
    </row>
    <row r="107" spans="1:25" s="9" customFormat="1" ht="14.45" customHeight="1" x14ac:dyDescent="0.25">
      <c r="A107" s="25" t="s">
        <v>183</v>
      </c>
      <c r="B107" s="25" t="s">
        <v>149</v>
      </c>
      <c r="C107" s="42" t="s">
        <v>83</v>
      </c>
      <c r="D107" s="42" t="s">
        <v>178</v>
      </c>
      <c r="E107" s="42" t="s">
        <v>88</v>
      </c>
      <c r="F107" s="56" t="s">
        <v>8</v>
      </c>
      <c r="G107" s="56" t="str">
        <f t="shared" ref="G107:G109" si="118">IF(H107="Napidíj","Nem rendszeres juttatás","Bérköltség")</f>
        <v>Bérköltség</v>
      </c>
      <c r="H107" s="25" t="s">
        <v>15</v>
      </c>
      <c r="I107" s="57">
        <v>872273</v>
      </c>
      <c r="J107" s="57">
        <f t="shared" ref="J107:J109" si="119">ROUND(I107*Q107,0)</f>
        <v>113395</v>
      </c>
      <c r="K107" s="58">
        <v>174</v>
      </c>
      <c r="L107" s="58">
        <v>37</v>
      </c>
      <c r="M107" s="168">
        <f t="shared" ref="M107:M109" si="120">L107/K107</f>
        <v>0.21264367816091953</v>
      </c>
      <c r="N107" s="88">
        <f t="shared" ref="N107:N109" si="121">ROUND(I107*M107,0)</f>
        <v>185483</v>
      </c>
      <c r="O107" s="88">
        <f t="shared" ref="O107:O109" si="122">ROUND(N107*Q107,0)</f>
        <v>24113</v>
      </c>
      <c r="P107" s="100">
        <f t="shared" ref="P107:P109" si="123">L107/K107-N107/I107</f>
        <v>3.8873203658806865E-7</v>
      </c>
      <c r="Q107" s="60">
        <v>0.13</v>
      </c>
      <c r="R107" s="187" t="s">
        <v>184</v>
      </c>
      <c r="S107" s="67">
        <v>44957</v>
      </c>
      <c r="T107" s="43" t="s">
        <v>224</v>
      </c>
      <c r="U107" s="89"/>
      <c r="V107" s="89"/>
      <c r="W107" s="9" t="str">
        <f>IF(VLOOKUP($R107,'Havi béradatok'!$B:$E,2,FALSE)=D107,"EGYEZIK","HIBÁS")</f>
        <v>EGYEZIK</v>
      </c>
      <c r="X107" s="9">
        <f>VLOOKUP($R107,'Havi béradatok'!$B:$E,3,FALSE)-I107</f>
        <v>0</v>
      </c>
      <c r="Y107" s="9">
        <f>VLOOKUP($R107,'Havi béradatok'!$B:$E,4,FALSE)-J107</f>
        <v>0</v>
      </c>
    </row>
    <row r="108" spans="1:25" s="9" customFormat="1" ht="14.45" customHeight="1" x14ac:dyDescent="0.25">
      <c r="A108" s="25" t="s">
        <v>183</v>
      </c>
      <c r="B108" s="25" t="s">
        <v>149</v>
      </c>
      <c r="C108" s="42" t="s">
        <v>83</v>
      </c>
      <c r="D108" s="42" t="s">
        <v>178</v>
      </c>
      <c r="E108" s="42" t="s">
        <v>89</v>
      </c>
      <c r="F108" s="56" t="s">
        <v>9</v>
      </c>
      <c r="G108" s="56" t="str">
        <f t="shared" si="118"/>
        <v>Bérköltség</v>
      </c>
      <c r="H108" s="25" t="s">
        <v>15</v>
      </c>
      <c r="I108" s="57">
        <v>950000</v>
      </c>
      <c r="J108" s="57">
        <f t="shared" si="119"/>
        <v>123500</v>
      </c>
      <c r="K108" s="58">
        <v>174</v>
      </c>
      <c r="L108" s="58">
        <v>37</v>
      </c>
      <c r="M108" s="168">
        <f t="shared" si="120"/>
        <v>0.21264367816091953</v>
      </c>
      <c r="N108" s="88">
        <f t="shared" si="121"/>
        <v>202011</v>
      </c>
      <c r="O108" s="88">
        <f t="shared" si="122"/>
        <v>26261</v>
      </c>
      <c r="P108" s="100">
        <f t="shared" si="123"/>
        <v>5.202661826908539E-7</v>
      </c>
      <c r="Q108" s="60">
        <v>0.13</v>
      </c>
      <c r="R108" s="187" t="s">
        <v>184</v>
      </c>
      <c r="S108" s="67">
        <v>44957</v>
      </c>
      <c r="T108" s="43" t="s">
        <v>224</v>
      </c>
      <c r="U108" s="89"/>
      <c r="V108" s="89"/>
    </row>
    <row r="109" spans="1:25" s="9" customFormat="1" ht="14.45" customHeight="1" x14ac:dyDescent="0.25">
      <c r="A109" s="25" t="s">
        <v>183</v>
      </c>
      <c r="B109" s="25" t="s">
        <v>149</v>
      </c>
      <c r="C109" s="42" t="s">
        <v>83</v>
      </c>
      <c r="D109" s="42" t="s">
        <v>178</v>
      </c>
      <c r="E109" s="42" t="s">
        <v>90</v>
      </c>
      <c r="F109" s="56" t="s">
        <v>9</v>
      </c>
      <c r="G109" s="56" t="str">
        <f t="shared" si="118"/>
        <v>Bérköltség</v>
      </c>
      <c r="H109" s="25" t="s">
        <v>15</v>
      </c>
      <c r="I109" s="57">
        <v>950000</v>
      </c>
      <c r="J109" s="57">
        <f t="shared" si="119"/>
        <v>123500</v>
      </c>
      <c r="K109" s="58">
        <v>174</v>
      </c>
      <c r="L109" s="58">
        <v>37</v>
      </c>
      <c r="M109" s="168">
        <f t="shared" si="120"/>
        <v>0.21264367816091953</v>
      </c>
      <c r="N109" s="88">
        <f t="shared" si="121"/>
        <v>202011</v>
      </c>
      <c r="O109" s="88">
        <f t="shared" si="122"/>
        <v>26261</v>
      </c>
      <c r="P109" s="100">
        <f t="shared" si="123"/>
        <v>5.202661826908539E-7</v>
      </c>
      <c r="Q109" s="60">
        <v>0.13</v>
      </c>
      <c r="R109" s="187" t="s">
        <v>184</v>
      </c>
      <c r="S109" s="67">
        <v>44957</v>
      </c>
      <c r="T109" s="43" t="s">
        <v>224</v>
      </c>
      <c r="U109" s="89"/>
      <c r="V109" s="89"/>
    </row>
    <row r="110" spans="1:25" s="9" customFormat="1" ht="14.45" customHeight="1" x14ac:dyDescent="0.25">
      <c r="A110" s="25" t="s">
        <v>237</v>
      </c>
      <c r="B110" s="25" t="s">
        <v>149</v>
      </c>
      <c r="C110" s="42" t="s">
        <v>83</v>
      </c>
      <c r="D110" s="42" t="s">
        <v>67</v>
      </c>
      <c r="E110" s="42" t="s">
        <v>89</v>
      </c>
      <c r="F110" s="56" t="s">
        <v>9</v>
      </c>
      <c r="G110" s="56" t="str">
        <f t="shared" ref="G110" si="124">IF(H110="Napidíj","Nem rendszeres juttatás","Bérköltség")</f>
        <v>Bérköltség</v>
      </c>
      <c r="H110" s="25" t="s">
        <v>15</v>
      </c>
      <c r="I110" s="57">
        <v>636000</v>
      </c>
      <c r="J110" s="57">
        <f t="shared" ref="J110" si="125">ROUND(I110*Q110,0)</f>
        <v>82680</v>
      </c>
      <c r="K110" s="58">
        <v>174</v>
      </c>
      <c r="L110" s="58">
        <v>174</v>
      </c>
      <c r="M110" s="168">
        <f t="shared" ref="M110" si="126">L110/K110</f>
        <v>1</v>
      </c>
      <c r="N110" s="88">
        <f t="shared" ref="N110" si="127">ROUND(I110*M110,0)</f>
        <v>636000</v>
      </c>
      <c r="O110" s="88">
        <f t="shared" ref="O110" si="128">ROUND(N110*Q110,0)</f>
        <v>82680</v>
      </c>
      <c r="P110" s="100">
        <f t="shared" ref="P110" si="129">L110/K110-N110/I110</f>
        <v>0</v>
      </c>
      <c r="Q110" s="60">
        <v>0.13</v>
      </c>
      <c r="R110" s="187" t="s">
        <v>238</v>
      </c>
      <c r="S110" s="67">
        <v>44987</v>
      </c>
      <c r="T110" s="43" t="s">
        <v>224</v>
      </c>
      <c r="U110" s="89"/>
      <c r="V110" s="89"/>
    </row>
    <row r="111" spans="1:25" s="9" customFormat="1" ht="14.45" customHeight="1" x14ac:dyDescent="0.25">
      <c r="A111" s="25" t="s">
        <v>237</v>
      </c>
      <c r="B111" s="25" t="s">
        <v>149</v>
      </c>
      <c r="C111" s="42" t="s">
        <v>83</v>
      </c>
      <c r="D111" s="42" t="s">
        <v>67</v>
      </c>
      <c r="E111" s="42" t="s">
        <v>90</v>
      </c>
      <c r="F111" s="56" t="s">
        <v>9</v>
      </c>
      <c r="G111" s="56" t="str">
        <f t="shared" ref="G111:G125" si="130">IF(H111="Napidíj","Nem rendszeres juttatás","Bérköltség")</f>
        <v>Bérköltség</v>
      </c>
      <c r="H111" s="25" t="s">
        <v>15</v>
      </c>
      <c r="I111" s="57">
        <v>636000</v>
      </c>
      <c r="J111" s="57">
        <f t="shared" ref="J111:J125" si="131">ROUND(I111*Q111,0)</f>
        <v>82680</v>
      </c>
      <c r="K111" s="58">
        <v>174</v>
      </c>
      <c r="L111" s="58">
        <v>174</v>
      </c>
      <c r="M111" s="168">
        <f t="shared" ref="M111:M125" si="132">L111/K111</f>
        <v>1</v>
      </c>
      <c r="N111" s="88">
        <f t="shared" ref="N111:N125" si="133">ROUND(I111*M111,0)</f>
        <v>636000</v>
      </c>
      <c r="O111" s="88">
        <f t="shared" ref="O111:O125" si="134">ROUND(N111*Q111,0)</f>
        <v>82680</v>
      </c>
      <c r="P111" s="100">
        <f t="shared" ref="P111:P125" si="135">L111/K111-N111/I111</f>
        <v>0</v>
      </c>
      <c r="Q111" s="60">
        <v>0.13</v>
      </c>
      <c r="R111" s="187" t="s">
        <v>238</v>
      </c>
      <c r="S111" s="67">
        <v>44987</v>
      </c>
      <c r="T111" s="43" t="s">
        <v>224</v>
      </c>
      <c r="U111" s="89"/>
      <c r="V111" s="89"/>
    </row>
    <row r="112" spans="1:25" s="9" customFormat="1" ht="14.45" customHeight="1" x14ac:dyDescent="0.25">
      <c r="A112" s="25" t="s">
        <v>237</v>
      </c>
      <c r="B112" s="25" t="s">
        <v>149</v>
      </c>
      <c r="C112" s="42" t="s">
        <v>83</v>
      </c>
      <c r="D112" s="42" t="s">
        <v>67</v>
      </c>
      <c r="E112" s="42" t="s">
        <v>91</v>
      </c>
      <c r="F112" s="56" t="s">
        <v>9</v>
      </c>
      <c r="G112" s="56" t="str">
        <f t="shared" si="130"/>
        <v>Bérköltség</v>
      </c>
      <c r="H112" s="25" t="s">
        <v>15</v>
      </c>
      <c r="I112" s="57">
        <v>636000</v>
      </c>
      <c r="J112" s="57">
        <f t="shared" si="131"/>
        <v>82680</v>
      </c>
      <c r="K112" s="58">
        <v>174</v>
      </c>
      <c r="L112" s="58">
        <v>174</v>
      </c>
      <c r="M112" s="168">
        <f t="shared" si="132"/>
        <v>1</v>
      </c>
      <c r="N112" s="88">
        <f t="shared" si="133"/>
        <v>636000</v>
      </c>
      <c r="O112" s="88">
        <f t="shared" si="134"/>
        <v>82680</v>
      </c>
      <c r="P112" s="100">
        <f t="shared" si="135"/>
        <v>0</v>
      </c>
      <c r="Q112" s="60">
        <v>0.13</v>
      </c>
      <c r="R112" s="187" t="s">
        <v>238</v>
      </c>
      <c r="S112" s="67">
        <v>44987</v>
      </c>
      <c r="T112" s="43" t="s">
        <v>224</v>
      </c>
      <c r="U112" s="89"/>
      <c r="V112" s="89"/>
    </row>
    <row r="113" spans="1:22" s="9" customFormat="1" ht="14.45" customHeight="1" x14ac:dyDescent="0.25">
      <c r="A113" s="25" t="s">
        <v>237</v>
      </c>
      <c r="B113" s="25" t="s">
        <v>149</v>
      </c>
      <c r="C113" s="42" t="s">
        <v>83</v>
      </c>
      <c r="D113" s="42" t="s">
        <v>67</v>
      </c>
      <c r="E113" s="42" t="s">
        <v>92</v>
      </c>
      <c r="F113" s="56" t="s">
        <v>9</v>
      </c>
      <c r="G113" s="56" t="str">
        <f t="shared" si="130"/>
        <v>Bérköltség</v>
      </c>
      <c r="H113" s="25" t="s">
        <v>15</v>
      </c>
      <c r="I113" s="57">
        <v>636000</v>
      </c>
      <c r="J113" s="57">
        <f t="shared" si="131"/>
        <v>82680</v>
      </c>
      <c r="K113" s="58">
        <v>174</v>
      </c>
      <c r="L113" s="58">
        <v>174</v>
      </c>
      <c r="M113" s="168">
        <f t="shared" si="132"/>
        <v>1</v>
      </c>
      <c r="N113" s="88">
        <f t="shared" si="133"/>
        <v>636000</v>
      </c>
      <c r="O113" s="88">
        <f t="shared" si="134"/>
        <v>82680</v>
      </c>
      <c r="P113" s="100">
        <f t="shared" si="135"/>
        <v>0</v>
      </c>
      <c r="Q113" s="60">
        <v>0.13</v>
      </c>
      <c r="R113" s="187" t="s">
        <v>238</v>
      </c>
      <c r="S113" s="67">
        <v>44987</v>
      </c>
      <c r="T113" s="43" t="s">
        <v>224</v>
      </c>
      <c r="U113" s="89"/>
      <c r="V113" s="89"/>
    </row>
    <row r="114" spans="1:22" s="9" customFormat="1" ht="14.45" customHeight="1" x14ac:dyDescent="0.25">
      <c r="A114" s="25" t="s">
        <v>237</v>
      </c>
      <c r="B114" s="25" t="s">
        <v>149</v>
      </c>
      <c r="C114" s="42" t="s">
        <v>83</v>
      </c>
      <c r="D114" s="42" t="s">
        <v>67</v>
      </c>
      <c r="E114" s="42" t="s">
        <v>93</v>
      </c>
      <c r="F114" s="56" t="s">
        <v>9</v>
      </c>
      <c r="G114" s="56" t="str">
        <f t="shared" si="130"/>
        <v>Bérköltség</v>
      </c>
      <c r="H114" s="25" t="s">
        <v>15</v>
      </c>
      <c r="I114" s="57">
        <v>636000</v>
      </c>
      <c r="J114" s="57">
        <f t="shared" si="131"/>
        <v>82680</v>
      </c>
      <c r="K114" s="58">
        <v>174</v>
      </c>
      <c r="L114" s="58">
        <v>174</v>
      </c>
      <c r="M114" s="168">
        <f t="shared" si="132"/>
        <v>1</v>
      </c>
      <c r="N114" s="88">
        <f t="shared" si="133"/>
        <v>636000</v>
      </c>
      <c r="O114" s="88">
        <f t="shared" si="134"/>
        <v>82680</v>
      </c>
      <c r="P114" s="100">
        <f t="shared" si="135"/>
        <v>0</v>
      </c>
      <c r="Q114" s="60">
        <v>0.13</v>
      </c>
      <c r="R114" s="187" t="s">
        <v>238</v>
      </c>
      <c r="S114" s="67">
        <v>44987</v>
      </c>
      <c r="T114" s="43" t="s">
        <v>224</v>
      </c>
      <c r="U114" s="89"/>
      <c r="V114" s="89"/>
    </row>
    <row r="115" spans="1:22" s="9" customFormat="1" ht="14.45" customHeight="1" x14ac:dyDescent="0.25">
      <c r="A115" s="25" t="s">
        <v>237</v>
      </c>
      <c r="B115" s="25" t="s">
        <v>149</v>
      </c>
      <c r="C115" s="42" t="s">
        <v>83</v>
      </c>
      <c r="D115" s="42" t="s">
        <v>67</v>
      </c>
      <c r="E115" s="42" t="s">
        <v>94</v>
      </c>
      <c r="F115" s="56" t="s">
        <v>9</v>
      </c>
      <c r="G115" s="56" t="str">
        <f t="shared" si="130"/>
        <v>Bérköltség</v>
      </c>
      <c r="H115" s="25" t="s">
        <v>15</v>
      </c>
      <c r="I115" s="57">
        <v>636000</v>
      </c>
      <c r="J115" s="57">
        <f t="shared" si="131"/>
        <v>82680</v>
      </c>
      <c r="K115" s="58">
        <v>174</v>
      </c>
      <c r="L115" s="58">
        <v>174</v>
      </c>
      <c r="M115" s="168">
        <f t="shared" si="132"/>
        <v>1</v>
      </c>
      <c r="N115" s="88">
        <f t="shared" si="133"/>
        <v>636000</v>
      </c>
      <c r="O115" s="88">
        <f t="shared" si="134"/>
        <v>82680</v>
      </c>
      <c r="P115" s="100">
        <f t="shared" si="135"/>
        <v>0</v>
      </c>
      <c r="Q115" s="60">
        <v>0.13</v>
      </c>
      <c r="R115" s="187" t="s">
        <v>238</v>
      </c>
      <c r="S115" s="67">
        <v>44987</v>
      </c>
      <c r="T115" s="43" t="s">
        <v>224</v>
      </c>
      <c r="U115" s="89"/>
      <c r="V115" s="89"/>
    </row>
    <row r="116" spans="1:22" s="9" customFormat="1" ht="14.45" customHeight="1" x14ac:dyDescent="0.25">
      <c r="A116" s="25" t="s">
        <v>237</v>
      </c>
      <c r="B116" s="25" t="s">
        <v>149</v>
      </c>
      <c r="C116" s="42" t="s">
        <v>83</v>
      </c>
      <c r="D116" s="42" t="s">
        <v>67</v>
      </c>
      <c r="E116" s="42" t="s">
        <v>95</v>
      </c>
      <c r="F116" s="56" t="s">
        <v>9</v>
      </c>
      <c r="G116" s="56" t="str">
        <f t="shared" si="130"/>
        <v>Bérköltség</v>
      </c>
      <c r="H116" s="25" t="s">
        <v>15</v>
      </c>
      <c r="I116" s="57">
        <v>636000</v>
      </c>
      <c r="J116" s="57">
        <f t="shared" si="131"/>
        <v>82680</v>
      </c>
      <c r="K116" s="58">
        <v>174</v>
      </c>
      <c r="L116" s="58">
        <v>174</v>
      </c>
      <c r="M116" s="168">
        <f t="shared" si="132"/>
        <v>1</v>
      </c>
      <c r="N116" s="88">
        <f t="shared" si="133"/>
        <v>636000</v>
      </c>
      <c r="O116" s="88">
        <f t="shared" si="134"/>
        <v>82680</v>
      </c>
      <c r="P116" s="100">
        <f t="shared" si="135"/>
        <v>0</v>
      </c>
      <c r="Q116" s="60">
        <v>0.13</v>
      </c>
      <c r="R116" s="187" t="s">
        <v>238</v>
      </c>
      <c r="S116" s="67">
        <v>44987</v>
      </c>
      <c r="T116" s="43" t="s">
        <v>224</v>
      </c>
      <c r="U116" s="89"/>
      <c r="V116" s="89"/>
    </row>
    <row r="117" spans="1:22" s="9" customFormat="1" ht="14.45" customHeight="1" x14ac:dyDescent="0.25">
      <c r="A117" s="25" t="s">
        <v>237</v>
      </c>
      <c r="B117" s="25" t="s">
        <v>149</v>
      </c>
      <c r="C117" s="42" t="s">
        <v>83</v>
      </c>
      <c r="D117" s="42" t="s">
        <v>67</v>
      </c>
      <c r="E117" s="42" t="s">
        <v>96</v>
      </c>
      <c r="F117" s="56" t="s">
        <v>9</v>
      </c>
      <c r="G117" s="56" t="str">
        <f t="shared" si="130"/>
        <v>Bérköltség</v>
      </c>
      <c r="H117" s="25" t="s">
        <v>15</v>
      </c>
      <c r="I117" s="57">
        <v>636000</v>
      </c>
      <c r="J117" s="57">
        <f t="shared" si="131"/>
        <v>82680</v>
      </c>
      <c r="K117" s="58">
        <v>174</v>
      </c>
      <c r="L117" s="58">
        <v>174</v>
      </c>
      <c r="M117" s="168">
        <f t="shared" si="132"/>
        <v>1</v>
      </c>
      <c r="N117" s="88">
        <f t="shared" si="133"/>
        <v>636000</v>
      </c>
      <c r="O117" s="88">
        <f t="shared" si="134"/>
        <v>82680</v>
      </c>
      <c r="P117" s="100">
        <f t="shared" si="135"/>
        <v>0</v>
      </c>
      <c r="Q117" s="60">
        <v>0.13</v>
      </c>
      <c r="R117" s="187" t="s">
        <v>238</v>
      </c>
      <c r="S117" s="67">
        <v>44987</v>
      </c>
      <c r="T117" s="43" t="s">
        <v>224</v>
      </c>
      <c r="U117" s="89"/>
      <c r="V117" s="89"/>
    </row>
    <row r="118" spans="1:22" s="9" customFormat="1" ht="14.45" customHeight="1" x14ac:dyDescent="0.25">
      <c r="A118" s="25" t="s">
        <v>249</v>
      </c>
      <c r="B118" s="25" t="s">
        <v>149</v>
      </c>
      <c r="C118" s="42" t="s">
        <v>83</v>
      </c>
      <c r="D118" s="42"/>
      <c r="E118" s="42" t="s">
        <v>248</v>
      </c>
      <c r="F118" s="56" t="s">
        <v>9</v>
      </c>
      <c r="G118" s="56" t="str">
        <f t="shared" si="130"/>
        <v>Bérköltség</v>
      </c>
      <c r="H118" s="25" t="s">
        <v>15</v>
      </c>
      <c r="I118" s="57">
        <v>200000</v>
      </c>
      <c r="J118" s="57">
        <f t="shared" si="131"/>
        <v>26000</v>
      </c>
      <c r="K118" s="58">
        <v>174</v>
      </c>
      <c r="L118" s="58">
        <v>174</v>
      </c>
      <c r="M118" s="168">
        <f t="shared" si="132"/>
        <v>1</v>
      </c>
      <c r="N118" s="88">
        <f t="shared" si="133"/>
        <v>200000</v>
      </c>
      <c r="O118" s="88">
        <f t="shared" si="134"/>
        <v>26000</v>
      </c>
      <c r="P118" s="100">
        <f t="shared" si="135"/>
        <v>0</v>
      </c>
      <c r="Q118" s="60">
        <v>0.13</v>
      </c>
      <c r="R118" s="187" t="s">
        <v>250</v>
      </c>
      <c r="S118" s="67">
        <v>45015</v>
      </c>
      <c r="T118" s="43"/>
      <c r="U118" s="89"/>
      <c r="V118" s="89"/>
    </row>
    <row r="119" spans="1:22" s="9" customFormat="1" ht="14.45" customHeight="1" x14ac:dyDescent="0.25">
      <c r="A119" s="25" t="s">
        <v>249</v>
      </c>
      <c r="B119" s="25" t="s">
        <v>149</v>
      </c>
      <c r="C119" s="42" t="s">
        <v>83</v>
      </c>
      <c r="D119" s="42"/>
      <c r="E119" s="42" t="s">
        <v>90</v>
      </c>
      <c r="F119" s="56" t="s">
        <v>9</v>
      </c>
      <c r="G119" s="56" t="str">
        <f t="shared" si="130"/>
        <v>Bérköltség</v>
      </c>
      <c r="H119" s="25" t="s">
        <v>15</v>
      </c>
      <c r="I119" s="57">
        <v>400000</v>
      </c>
      <c r="J119" s="57">
        <f t="shared" si="131"/>
        <v>52000</v>
      </c>
      <c r="K119" s="58">
        <v>174</v>
      </c>
      <c r="L119" s="58">
        <v>174</v>
      </c>
      <c r="M119" s="168">
        <f t="shared" si="132"/>
        <v>1</v>
      </c>
      <c r="N119" s="88">
        <f t="shared" si="133"/>
        <v>400000</v>
      </c>
      <c r="O119" s="88">
        <f t="shared" si="134"/>
        <v>52000</v>
      </c>
      <c r="P119" s="100">
        <f t="shared" si="135"/>
        <v>0</v>
      </c>
      <c r="Q119" s="60">
        <v>0.13</v>
      </c>
      <c r="R119" s="187" t="s">
        <v>250</v>
      </c>
      <c r="S119" s="67">
        <v>45015</v>
      </c>
      <c r="T119" s="43"/>
      <c r="U119" s="89"/>
      <c r="V119" s="89"/>
    </row>
    <row r="120" spans="1:22" s="9" customFormat="1" ht="14.45" customHeight="1" x14ac:dyDescent="0.25">
      <c r="A120" s="25" t="s">
        <v>249</v>
      </c>
      <c r="B120" s="25" t="s">
        <v>149</v>
      </c>
      <c r="C120" s="42" t="s">
        <v>83</v>
      </c>
      <c r="D120" s="42"/>
      <c r="E120" s="42" t="s">
        <v>91</v>
      </c>
      <c r="F120" s="56" t="s">
        <v>9</v>
      </c>
      <c r="G120" s="56" t="str">
        <f t="shared" si="130"/>
        <v>Bérköltség</v>
      </c>
      <c r="H120" s="25" t="s">
        <v>15</v>
      </c>
      <c r="I120" s="57">
        <v>400000</v>
      </c>
      <c r="J120" s="57">
        <f t="shared" si="131"/>
        <v>52000</v>
      </c>
      <c r="K120" s="58">
        <v>174</v>
      </c>
      <c r="L120" s="58">
        <v>174</v>
      </c>
      <c r="M120" s="168">
        <f t="shared" si="132"/>
        <v>1</v>
      </c>
      <c r="N120" s="88">
        <f t="shared" si="133"/>
        <v>400000</v>
      </c>
      <c r="O120" s="88">
        <f t="shared" si="134"/>
        <v>52000</v>
      </c>
      <c r="P120" s="100">
        <f t="shared" si="135"/>
        <v>0</v>
      </c>
      <c r="Q120" s="60">
        <v>0.13</v>
      </c>
      <c r="R120" s="187" t="s">
        <v>250</v>
      </c>
      <c r="S120" s="67">
        <v>45015</v>
      </c>
      <c r="T120" s="43"/>
      <c r="U120" s="89"/>
      <c r="V120" s="89"/>
    </row>
    <row r="121" spans="1:22" s="9" customFormat="1" ht="14.45" customHeight="1" x14ac:dyDescent="0.25">
      <c r="A121" s="25" t="s">
        <v>249</v>
      </c>
      <c r="B121" s="25" t="s">
        <v>149</v>
      </c>
      <c r="C121" s="42" t="s">
        <v>83</v>
      </c>
      <c r="D121" s="42"/>
      <c r="E121" s="42" t="s">
        <v>92</v>
      </c>
      <c r="F121" s="56" t="s">
        <v>9</v>
      </c>
      <c r="G121" s="56" t="str">
        <f t="shared" si="130"/>
        <v>Bérköltség</v>
      </c>
      <c r="H121" s="25" t="s">
        <v>15</v>
      </c>
      <c r="I121" s="57">
        <v>400000</v>
      </c>
      <c r="J121" s="57">
        <f t="shared" si="131"/>
        <v>52000</v>
      </c>
      <c r="K121" s="58">
        <v>174</v>
      </c>
      <c r="L121" s="58">
        <v>174</v>
      </c>
      <c r="M121" s="168">
        <f t="shared" si="132"/>
        <v>1</v>
      </c>
      <c r="N121" s="88">
        <f t="shared" si="133"/>
        <v>400000</v>
      </c>
      <c r="O121" s="88">
        <f t="shared" si="134"/>
        <v>52000</v>
      </c>
      <c r="P121" s="100">
        <f t="shared" si="135"/>
        <v>0</v>
      </c>
      <c r="Q121" s="60">
        <v>0.13</v>
      </c>
      <c r="R121" s="187" t="s">
        <v>250</v>
      </c>
      <c r="S121" s="67">
        <v>45015</v>
      </c>
      <c r="T121" s="43"/>
      <c r="U121" s="89"/>
      <c r="V121" s="89"/>
    </row>
    <row r="122" spans="1:22" s="9" customFormat="1" ht="14.45" customHeight="1" x14ac:dyDescent="0.25">
      <c r="A122" s="25" t="s">
        <v>249</v>
      </c>
      <c r="B122" s="25" t="s">
        <v>149</v>
      </c>
      <c r="C122" s="42" t="s">
        <v>83</v>
      </c>
      <c r="D122" s="42"/>
      <c r="E122" s="42" t="s">
        <v>93</v>
      </c>
      <c r="F122" s="56" t="s">
        <v>9</v>
      </c>
      <c r="G122" s="56" t="str">
        <f t="shared" si="130"/>
        <v>Bérköltség</v>
      </c>
      <c r="H122" s="25" t="s">
        <v>15</v>
      </c>
      <c r="I122" s="57">
        <v>400000</v>
      </c>
      <c r="J122" s="57">
        <f t="shared" si="131"/>
        <v>52000</v>
      </c>
      <c r="K122" s="58">
        <v>174</v>
      </c>
      <c r="L122" s="58">
        <v>174</v>
      </c>
      <c r="M122" s="168">
        <f t="shared" si="132"/>
        <v>1</v>
      </c>
      <c r="N122" s="88">
        <f t="shared" si="133"/>
        <v>400000</v>
      </c>
      <c r="O122" s="88">
        <f t="shared" si="134"/>
        <v>52000</v>
      </c>
      <c r="P122" s="100">
        <f t="shared" si="135"/>
        <v>0</v>
      </c>
      <c r="Q122" s="60">
        <v>0.13</v>
      </c>
      <c r="R122" s="187" t="s">
        <v>250</v>
      </c>
      <c r="S122" s="67">
        <v>45015</v>
      </c>
      <c r="T122" s="43"/>
      <c r="U122" s="89"/>
      <c r="V122" s="89"/>
    </row>
    <row r="123" spans="1:22" s="9" customFormat="1" ht="14.45" customHeight="1" x14ac:dyDescent="0.25">
      <c r="A123" s="25" t="s">
        <v>249</v>
      </c>
      <c r="B123" s="25" t="s">
        <v>149</v>
      </c>
      <c r="C123" s="42" t="s">
        <v>83</v>
      </c>
      <c r="D123" s="42"/>
      <c r="E123" s="42" t="s">
        <v>94</v>
      </c>
      <c r="F123" s="56" t="s">
        <v>9</v>
      </c>
      <c r="G123" s="56" t="str">
        <f t="shared" si="130"/>
        <v>Bérköltség</v>
      </c>
      <c r="H123" s="25" t="s">
        <v>15</v>
      </c>
      <c r="I123" s="57">
        <v>400000</v>
      </c>
      <c r="J123" s="57">
        <f t="shared" si="131"/>
        <v>52000</v>
      </c>
      <c r="K123" s="58">
        <v>174</v>
      </c>
      <c r="L123" s="58">
        <v>174</v>
      </c>
      <c r="M123" s="168">
        <f t="shared" si="132"/>
        <v>1</v>
      </c>
      <c r="N123" s="88">
        <f t="shared" si="133"/>
        <v>400000</v>
      </c>
      <c r="O123" s="88">
        <f t="shared" si="134"/>
        <v>52000</v>
      </c>
      <c r="P123" s="100">
        <f t="shared" si="135"/>
        <v>0</v>
      </c>
      <c r="Q123" s="60">
        <v>0.13</v>
      </c>
      <c r="R123" s="187" t="s">
        <v>250</v>
      </c>
      <c r="S123" s="67">
        <v>45015</v>
      </c>
      <c r="T123" s="43"/>
      <c r="U123" s="89"/>
      <c r="V123" s="89"/>
    </row>
    <row r="124" spans="1:22" s="9" customFormat="1" ht="14.45" customHeight="1" x14ac:dyDescent="0.25">
      <c r="A124" s="25" t="s">
        <v>249</v>
      </c>
      <c r="B124" s="25" t="s">
        <v>149</v>
      </c>
      <c r="C124" s="42" t="s">
        <v>83</v>
      </c>
      <c r="D124" s="42"/>
      <c r="E124" s="42" t="s">
        <v>95</v>
      </c>
      <c r="F124" s="56" t="s">
        <v>9</v>
      </c>
      <c r="G124" s="56" t="str">
        <f t="shared" si="130"/>
        <v>Bérköltség</v>
      </c>
      <c r="H124" s="25" t="s">
        <v>15</v>
      </c>
      <c r="I124" s="57">
        <v>400000</v>
      </c>
      <c r="J124" s="57">
        <f t="shared" si="131"/>
        <v>52000</v>
      </c>
      <c r="K124" s="58">
        <v>174</v>
      </c>
      <c r="L124" s="58">
        <v>174</v>
      </c>
      <c r="M124" s="168">
        <f t="shared" si="132"/>
        <v>1</v>
      </c>
      <c r="N124" s="88">
        <f t="shared" si="133"/>
        <v>400000</v>
      </c>
      <c r="O124" s="88">
        <f t="shared" si="134"/>
        <v>52000</v>
      </c>
      <c r="P124" s="100">
        <f t="shared" si="135"/>
        <v>0</v>
      </c>
      <c r="Q124" s="60">
        <v>0.13</v>
      </c>
      <c r="R124" s="187" t="s">
        <v>250</v>
      </c>
      <c r="S124" s="67">
        <v>45015</v>
      </c>
      <c r="T124" s="43"/>
      <c r="U124" s="89"/>
      <c r="V124" s="89"/>
    </row>
    <row r="125" spans="1:22" s="9" customFormat="1" ht="14.45" customHeight="1" x14ac:dyDescent="0.25">
      <c r="A125" s="25" t="s">
        <v>249</v>
      </c>
      <c r="B125" s="25" t="s">
        <v>149</v>
      </c>
      <c r="C125" s="42" t="s">
        <v>83</v>
      </c>
      <c r="D125" s="42"/>
      <c r="E125" s="42" t="s">
        <v>96</v>
      </c>
      <c r="F125" s="56" t="s">
        <v>9</v>
      </c>
      <c r="G125" s="56" t="str">
        <f t="shared" si="130"/>
        <v>Bérköltség</v>
      </c>
      <c r="H125" s="25" t="s">
        <v>15</v>
      </c>
      <c r="I125" s="57">
        <v>400000</v>
      </c>
      <c r="J125" s="57">
        <f t="shared" si="131"/>
        <v>52000</v>
      </c>
      <c r="K125" s="58">
        <v>174</v>
      </c>
      <c r="L125" s="58">
        <v>174</v>
      </c>
      <c r="M125" s="168">
        <f t="shared" si="132"/>
        <v>1</v>
      </c>
      <c r="N125" s="88">
        <f t="shared" si="133"/>
        <v>400000</v>
      </c>
      <c r="O125" s="88">
        <f t="shared" si="134"/>
        <v>52000</v>
      </c>
      <c r="P125" s="100">
        <f t="shared" si="135"/>
        <v>0</v>
      </c>
      <c r="Q125" s="60">
        <v>0.13</v>
      </c>
      <c r="R125" s="187" t="s">
        <v>250</v>
      </c>
      <c r="S125" s="67">
        <v>45015</v>
      </c>
      <c r="T125" s="43"/>
      <c r="U125" s="89"/>
      <c r="V125" s="89"/>
    </row>
    <row r="126" spans="1:22" s="9" customFormat="1" ht="14.45" customHeight="1" x14ac:dyDescent="0.25">
      <c r="A126" s="25" t="s">
        <v>246</v>
      </c>
      <c r="B126" s="25" t="s">
        <v>149</v>
      </c>
      <c r="C126" s="42" t="s">
        <v>83</v>
      </c>
      <c r="D126" s="42"/>
      <c r="E126" s="42" t="s">
        <v>248</v>
      </c>
      <c r="F126" s="56" t="s">
        <v>9</v>
      </c>
      <c r="G126" s="56" t="str">
        <f t="shared" ref="G126" si="136">IF(H126="Napidíj","Nem rendszeres juttatás","Bérköltség")</f>
        <v>Bérköltség</v>
      </c>
      <c r="H126" s="25" t="s">
        <v>15</v>
      </c>
      <c r="I126" s="57">
        <v>200000</v>
      </c>
      <c r="J126" s="57">
        <f t="shared" ref="J126" si="137">ROUND(I126*Q126,0)</f>
        <v>26000</v>
      </c>
      <c r="K126" s="58">
        <v>174</v>
      </c>
      <c r="L126" s="58">
        <v>174</v>
      </c>
      <c r="M126" s="168">
        <f t="shared" ref="M126" si="138">L126/K126</f>
        <v>1</v>
      </c>
      <c r="N126" s="88">
        <f t="shared" ref="N126" si="139">ROUND(I126*M126,0)</f>
        <v>200000</v>
      </c>
      <c r="O126" s="88">
        <f t="shared" ref="O126" si="140">ROUND(N126*Q126,0)</f>
        <v>26000</v>
      </c>
      <c r="P126" s="100">
        <f t="shared" ref="P126" si="141">L126/K126-N126/I126</f>
        <v>0</v>
      </c>
      <c r="Q126" s="60">
        <v>0.13</v>
      </c>
      <c r="R126" s="187" t="s">
        <v>247</v>
      </c>
      <c r="S126" s="67">
        <v>45015</v>
      </c>
      <c r="T126" s="43"/>
      <c r="U126" s="89"/>
      <c r="V126" s="89"/>
    </row>
    <row r="127" spans="1:22" s="9" customFormat="1" ht="14.45" customHeight="1" x14ac:dyDescent="0.25">
      <c r="A127" s="25" t="s">
        <v>246</v>
      </c>
      <c r="B127" s="25" t="s">
        <v>149</v>
      </c>
      <c r="C127" s="42" t="s">
        <v>83</v>
      </c>
      <c r="D127" s="42"/>
      <c r="E127" s="42" t="s">
        <v>90</v>
      </c>
      <c r="F127" s="56" t="s">
        <v>9</v>
      </c>
      <c r="G127" s="56" t="str">
        <f t="shared" ref="G127:G133" si="142">IF(H127="Napidíj","Nem rendszeres juttatás","Bérköltség")</f>
        <v>Bérköltség</v>
      </c>
      <c r="H127" s="25" t="s">
        <v>15</v>
      </c>
      <c r="I127" s="57">
        <v>400000</v>
      </c>
      <c r="J127" s="57">
        <f t="shared" ref="J127:J133" si="143">ROUND(I127*Q127,0)</f>
        <v>52000</v>
      </c>
      <c r="K127" s="58">
        <v>174</v>
      </c>
      <c r="L127" s="58">
        <v>174</v>
      </c>
      <c r="M127" s="168">
        <f t="shared" ref="M127:M133" si="144">L127/K127</f>
        <v>1</v>
      </c>
      <c r="N127" s="88">
        <f t="shared" ref="N127:N133" si="145">ROUND(I127*M127,0)</f>
        <v>400000</v>
      </c>
      <c r="O127" s="88">
        <f t="shared" ref="O127:O133" si="146">ROUND(N127*Q127,0)</f>
        <v>52000</v>
      </c>
      <c r="P127" s="100">
        <f t="shared" ref="P127:P133" si="147">L127/K127-N127/I127</f>
        <v>0</v>
      </c>
      <c r="Q127" s="60">
        <v>0.13</v>
      </c>
      <c r="R127" s="187" t="s">
        <v>247</v>
      </c>
      <c r="S127" s="67">
        <v>45015</v>
      </c>
      <c r="T127" s="43"/>
      <c r="U127" s="89"/>
      <c r="V127" s="89"/>
    </row>
    <row r="128" spans="1:22" s="9" customFormat="1" ht="14.45" customHeight="1" x14ac:dyDescent="0.25">
      <c r="A128" s="25" t="s">
        <v>246</v>
      </c>
      <c r="B128" s="25" t="s">
        <v>149</v>
      </c>
      <c r="C128" s="42" t="s">
        <v>83</v>
      </c>
      <c r="D128" s="42"/>
      <c r="E128" s="42" t="s">
        <v>91</v>
      </c>
      <c r="F128" s="56" t="s">
        <v>9</v>
      </c>
      <c r="G128" s="56" t="str">
        <f t="shared" si="142"/>
        <v>Bérköltség</v>
      </c>
      <c r="H128" s="25" t="s">
        <v>15</v>
      </c>
      <c r="I128" s="57">
        <v>400000</v>
      </c>
      <c r="J128" s="57">
        <f t="shared" si="143"/>
        <v>52000</v>
      </c>
      <c r="K128" s="58">
        <v>174</v>
      </c>
      <c r="L128" s="58">
        <v>174</v>
      </c>
      <c r="M128" s="168">
        <f t="shared" si="144"/>
        <v>1</v>
      </c>
      <c r="N128" s="88">
        <f t="shared" si="145"/>
        <v>400000</v>
      </c>
      <c r="O128" s="88">
        <f t="shared" si="146"/>
        <v>52000</v>
      </c>
      <c r="P128" s="100">
        <f t="shared" si="147"/>
        <v>0</v>
      </c>
      <c r="Q128" s="60">
        <v>0.13</v>
      </c>
      <c r="R128" s="187" t="s">
        <v>247</v>
      </c>
      <c r="S128" s="67">
        <v>45015</v>
      </c>
      <c r="T128" s="43"/>
      <c r="U128" s="89"/>
      <c r="V128" s="89"/>
    </row>
    <row r="129" spans="1:25" s="9" customFormat="1" ht="14.45" customHeight="1" x14ac:dyDescent="0.25">
      <c r="A129" s="25" t="s">
        <v>246</v>
      </c>
      <c r="B129" s="25" t="s">
        <v>149</v>
      </c>
      <c r="C129" s="42" t="s">
        <v>83</v>
      </c>
      <c r="D129" s="42"/>
      <c r="E129" s="42" t="s">
        <v>92</v>
      </c>
      <c r="F129" s="56" t="s">
        <v>9</v>
      </c>
      <c r="G129" s="56" t="str">
        <f t="shared" si="142"/>
        <v>Bérköltség</v>
      </c>
      <c r="H129" s="25" t="s">
        <v>15</v>
      </c>
      <c r="I129" s="57">
        <v>400000</v>
      </c>
      <c r="J129" s="57">
        <f t="shared" si="143"/>
        <v>52000</v>
      </c>
      <c r="K129" s="58">
        <v>174</v>
      </c>
      <c r="L129" s="58">
        <v>174</v>
      </c>
      <c r="M129" s="168">
        <f t="shared" si="144"/>
        <v>1</v>
      </c>
      <c r="N129" s="88">
        <f t="shared" si="145"/>
        <v>400000</v>
      </c>
      <c r="O129" s="88">
        <f t="shared" si="146"/>
        <v>52000</v>
      </c>
      <c r="P129" s="100">
        <f t="shared" si="147"/>
        <v>0</v>
      </c>
      <c r="Q129" s="60">
        <v>0.13</v>
      </c>
      <c r="R129" s="187" t="s">
        <v>247</v>
      </c>
      <c r="S129" s="67">
        <v>45015</v>
      </c>
      <c r="T129" s="43"/>
      <c r="U129" s="89"/>
      <c r="V129" s="89"/>
    </row>
    <row r="130" spans="1:25" s="9" customFormat="1" ht="14.45" customHeight="1" x14ac:dyDescent="0.25">
      <c r="A130" s="25" t="s">
        <v>246</v>
      </c>
      <c r="B130" s="25" t="s">
        <v>149</v>
      </c>
      <c r="C130" s="42" t="s">
        <v>83</v>
      </c>
      <c r="D130" s="42"/>
      <c r="E130" s="42" t="s">
        <v>93</v>
      </c>
      <c r="F130" s="56" t="s">
        <v>9</v>
      </c>
      <c r="G130" s="56" t="str">
        <f t="shared" si="142"/>
        <v>Bérköltség</v>
      </c>
      <c r="H130" s="25" t="s">
        <v>15</v>
      </c>
      <c r="I130" s="57">
        <v>400000</v>
      </c>
      <c r="J130" s="57">
        <f t="shared" si="143"/>
        <v>52000</v>
      </c>
      <c r="K130" s="58">
        <v>174</v>
      </c>
      <c r="L130" s="58">
        <v>174</v>
      </c>
      <c r="M130" s="168">
        <f t="shared" si="144"/>
        <v>1</v>
      </c>
      <c r="N130" s="88">
        <f t="shared" si="145"/>
        <v>400000</v>
      </c>
      <c r="O130" s="88">
        <f t="shared" si="146"/>
        <v>52000</v>
      </c>
      <c r="P130" s="100">
        <f t="shared" si="147"/>
        <v>0</v>
      </c>
      <c r="Q130" s="60">
        <v>0.13</v>
      </c>
      <c r="R130" s="187" t="s">
        <v>247</v>
      </c>
      <c r="S130" s="67">
        <v>45015</v>
      </c>
      <c r="T130" s="43"/>
      <c r="U130" s="89"/>
      <c r="V130" s="89"/>
    </row>
    <row r="131" spans="1:25" s="9" customFormat="1" ht="14.45" customHeight="1" x14ac:dyDescent="0.25">
      <c r="A131" s="25" t="s">
        <v>246</v>
      </c>
      <c r="B131" s="25" t="s">
        <v>149</v>
      </c>
      <c r="C131" s="42" t="s">
        <v>83</v>
      </c>
      <c r="D131" s="42"/>
      <c r="E131" s="42" t="s">
        <v>94</v>
      </c>
      <c r="F131" s="56" t="s">
        <v>9</v>
      </c>
      <c r="G131" s="56" t="str">
        <f t="shared" si="142"/>
        <v>Bérköltség</v>
      </c>
      <c r="H131" s="25" t="s">
        <v>15</v>
      </c>
      <c r="I131" s="57">
        <v>400000</v>
      </c>
      <c r="J131" s="57">
        <f t="shared" si="143"/>
        <v>52000</v>
      </c>
      <c r="K131" s="58">
        <v>174</v>
      </c>
      <c r="L131" s="58">
        <v>174</v>
      </c>
      <c r="M131" s="168">
        <f t="shared" si="144"/>
        <v>1</v>
      </c>
      <c r="N131" s="88">
        <f t="shared" si="145"/>
        <v>400000</v>
      </c>
      <c r="O131" s="88">
        <f t="shared" si="146"/>
        <v>52000</v>
      </c>
      <c r="P131" s="100">
        <f t="shared" si="147"/>
        <v>0</v>
      </c>
      <c r="Q131" s="60">
        <v>0.13</v>
      </c>
      <c r="R131" s="187" t="s">
        <v>247</v>
      </c>
      <c r="S131" s="67">
        <v>45015</v>
      </c>
      <c r="T131" s="43"/>
      <c r="U131" s="89"/>
      <c r="V131" s="89"/>
    </row>
    <row r="132" spans="1:25" s="9" customFormat="1" ht="14.45" customHeight="1" x14ac:dyDescent="0.25">
      <c r="A132" s="25" t="s">
        <v>246</v>
      </c>
      <c r="B132" s="25" t="s">
        <v>149</v>
      </c>
      <c r="C132" s="42" t="s">
        <v>83</v>
      </c>
      <c r="D132" s="42"/>
      <c r="E132" s="42" t="s">
        <v>95</v>
      </c>
      <c r="F132" s="56" t="s">
        <v>9</v>
      </c>
      <c r="G132" s="56" t="str">
        <f t="shared" si="142"/>
        <v>Bérköltség</v>
      </c>
      <c r="H132" s="25" t="s">
        <v>15</v>
      </c>
      <c r="I132" s="57">
        <v>400000</v>
      </c>
      <c r="J132" s="57">
        <f t="shared" si="143"/>
        <v>52000</v>
      </c>
      <c r="K132" s="58">
        <v>174</v>
      </c>
      <c r="L132" s="58">
        <v>174</v>
      </c>
      <c r="M132" s="168">
        <f t="shared" si="144"/>
        <v>1</v>
      </c>
      <c r="N132" s="88">
        <f t="shared" si="145"/>
        <v>400000</v>
      </c>
      <c r="O132" s="88">
        <f t="shared" si="146"/>
        <v>52000</v>
      </c>
      <c r="P132" s="100">
        <f t="shared" si="147"/>
        <v>0</v>
      </c>
      <c r="Q132" s="60">
        <v>0.13</v>
      </c>
      <c r="R132" s="187" t="s">
        <v>247</v>
      </c>
      <c r="S132" s="67">
        <v>45015</v>
      </c>
      <c r="T132" s="43"/>
      <c r="U132" s="89"/>
      <c r="V132" s="89"/>
    </row>
    <row r="133" spans="1:25" s="9" customFormat="1" ht="14.45" customHeight="1" x14ac:dyDescent="0.25">
      <c r="A133" s="25" t="s">
        <v>246</v>
      </c>
      <c r="B133" s="25" t="s">
        <v>149</v>
      </c>
      <c r="C133" s="42" t="s">
        <v>83</v>
      </c>
      <c r="D133" s="42"/>
      <c r="E133" s="42" t="s">
        <v>96</v>
      </c>
      <c r="F133" s="56" t="s">
        <v>9</v>
      </c>
      <c r="G133" s="56" t="str">
        <f t="shared" si="142"/>
        <v>Bérköltség</v>
      </c>
      <c r="H133" s="25" t="s">
        <v>15</v>
      </c>
      <c r="I133" s="57">
        <v>400000</v>
      </c>
      <c r="J133" s="57">
        <f t="shared" si="143"/>
        <v>52000</v>
      </c>
      <c r="K133" s="58">
        <v>174</v>
      </c>
      <c r="L133" s="58">
        <v>174</v>
      </c>
      <c r="M133" s="168">
        <f t="shared" si="144"/>
        <v>1</v>
      </c>
      <c r="N133" s="88">
        <f t="shared" si="145"/>
        <v>400000</v>
      </c>
      <c r="O133" s="88">
        <f t="shared" si="146"/>
        <v>52000</v>
      </c>
      <c r="P133" s="100">
        <f t="shared" si="147"/>
        <v>0</v>
      </c>
      <c r="Q133" s="60">
        <v>0.13</v>
      </c>
      <c r="R133" s="187" t="s">
        <v>247</v>
      </c>
      <c r="S133" s="67">
        <v>45015</v>
      </c>
      <c r="T133" s="43"/>
      <c r="U133" s="89"/>
      <c r="V133" s="89"/>
    </row>
    <row r="134" spans="1:25" s="9" customFormat="1" ht="14.45" customHeight="1" x14ac:dyDescent="0.25">
      <c r="A134" s="25" t="s">
        <v>177</v>
      </c>
      <c r="B134" s="25" t="s">
        <v>149</v>
      </c>
      <c r="C134" s="42" t="s">
        <v>83</v>
      </c>
      <c r="D134" s="42" t="s">
        <v>178</v>
      </c>
      <c r="E134" s="42" t="s">
        <v>87</v>
      </c>
      <c r="F134" s="56" t="s">
        <v>8</v>
      </c>
      <c r="G134" s="56" t="str">
        <f t="shared" si="94"/>
        <v>Bérköltség</v>
      </c>
      <c r="H134" s="25" t="s">
        <v>15</v>
      </c>
      <c r="I134" s="57">
        <v>995000</v>
      </c>
      <c r="J134" s="57">
        <f>ROUND(I134*Q134,0)</f>
        <v>129350</v>
      </c>
      <c r="K134" s="58">
        <v>174</v>
      </c>
      <c r="L134" s="58">
        <v>42</v>
      </c>
      <c r="M134" s="168">
        <f>L134/K134</f>
        <v>0.2413793103448276</v>
      </c>
      <c r="N134" s="88">
        <v>203966</v>
      </c>
      <c r="O134" s="88">
        <f>ROUND(N134*Q134,0)</f>
        <v>26516</v>
      </c>
      <c r="P134" s="100">
        <f t="shared" si="99"/>
        <v>3.6388355570958236E-2</v>
      </c>
      <c r="Q134" s="60">
        <v>0.13</v>
      </c>
      <c r="R134" s="187" t="s">
        <v>179</v>
      </c>
      <c r="S134" s="67">
        <v>44951</v>
      </c>
      <c r="T134" s="43" t="s">
        <v>224</v>
      </c>
      <c r="U134" s="89"/>
      <c r="V134" s="89"/>
      <c r="W134" s="9" t="str">
        <f>IF(VLOOKUP($R134,'Havi béradatok'!$B:$E,2,FALSE)=D134,"EGYEZIK","HIBÁS")</f>
        <v>EGYEZIK</v>
      </c>
      <c r="X134" s="9">
        <f>VLOOKUP($R134,'Havi béradatok'!$B:$E,3,FALSE)-I134</f>
        <v>0</v>
      </c>
      <c r="Y134" s="9">
        <f>VLOOKUP($R134,'Havi béradatok'!$B:$E,4,FALSE)-J134</f>
        <v>0</v>
      </c>
    </row>
    <row r="135" spans="1:25" s="9" customFormat="1" ht="14.45" customHeight="1" x14ac:dyDescent="0.25">
      <c r="A135" s="25" t="s">
        <v>177</v>
      </c>
      <c r="B135" s="25" t="s">
        <v>149</v>
      </c>
      <c r="C135" s="42" t="s">
        <v>83</v>
      </c>
      <c r="D135" s="42" t="s">
        <v>178</v>
      </c>
      <c r="E135" s="42" t="s">
        <v>88</v>
      </c>
      <c r="F135" s="56" t="s">
        <v>8</v>
      </c>
      <c r="G135" s="56" t="str">
        <f t="shared" si="94"/>
        <v>Bérköltség</v>
      </c>
      <c r="H135" s="25" t="s">
        <v>15</v>
      </c>
      <c r="I135" s="57">
        <v>995000</v>
      </c>
      <c r="J135" s="57">
        <f t="shared" ref="J135:J143" si="148">ROUND(I135*Q135,0)</f>
        <v>129350</v>
      </c>
      <c r="K135" s="58">
        <v>174</v>
      </c>
      <c r="L135" s="58">
        <v>42</v>
      </c>
      <c r="M135" s="168">
        <f t="shared" ref="M135:M143" si="149">L135/K135</f>
        <v>0.2413793103448276</v>
      </c>
      <c r="N135" s="88">
        <v>203966</v>
      </c>
      <c r="O135" s="88">
        <f t="shared" ref="O135:O143" si="150">ROUND(N135*Q135,0)</f>
        <v>26516</v>
      </c>
      <c r="P135" s="100">
        <f t="shared" ref="P135:P143" si="151">L135/K135-N135/I135</f>
        <v>3.6388355570958236E-2</v>
      </c>
      <c r="Q135" s="60">
        <v>0.13</v>
      </c>
      <c r="R135" s="187" t="s">
        <v>179</v>
      </c>
      <c r="S135" s="67">
        <v>44951</v>
      </c>
      <c r="T135" s="43" t="s">
        <v>224</v>
      </c>
      <c r="U135" s="89"/>
      <c r="V135" s="89"/>
      <c r="W135" s="9" t="str">
        <f>IF(VLOOKUP($R135,'Havi béradatok'!$B:$E,2,FALSE)=D135,"EGYEZIK","HIBÁS")</f>
        <v>EGYEZIK</v>
      </c>
      <c r="X135" s="9">
        <f>VLOOKUP($R135,'Havi béradatok'!$B:$E,3,FALSE)-I135</f>
        <v>0</v>
      </c>
      <c r="Y135" s="9">
        <f>VLOOKUP($R135,'Havi béradatok'!$B:$E,4,FALSE)-J135</f>
        <v>0</v>
      </c>
    </row>
    <row r="136" spans="1:25" s="9" customFormat="1" ht="14.45" customHeight="1" x14ac:dyDescent="0.25">
      <c r="A136" s="25" t="s">
        <v>177</v>
      </c>
      <c r="B136" s="25" t="s">
        <v>149</v>
      </c>
      <c r="C136" s="42" t="s">
        <v>83</v>
      </c>
      <c r="D136" s="42" t="s">
        <v>178</v>
      </c>
      <c r="E136" s="42" t="s">
        <v>89</v>
      </c>
      <c r="F136" s="56" t="s">
        <v>9</v>
      </c>
      <c r="G136" s="56" t="str">
        <f t="shared" si="94"/>
        <v>Bérköltség</v>
      </c>
      <c r="H136" s="25" t="s">
        <v>15</v>
      </c>
      <c r="I136" s="57">
        <v>995000</v>
      </c>
      <c r="J136" s="57">
        <f t="shared" si="148"/>
        <v>129350</v>
      </c>
      <c r="K136" s="58">
        <v>174</v>
      </c>
      <c r="L136" s="58">
        <v>42</v>
      </c>
      <c r="M136" s="168">
        <f t="shared" si="149"/>
        <v>0.2413793103448276</v>
      </c>
      <c r="N136" s="88">
        <v>203966</v>
      </c>
      <c r="O136" s="88">
        <f t="shared" si="150"/>
        <v>26516</v>
      </c>
      <c r="P136" s="100">
        <f t="shared" si="151"/>
        <v>3.6388355570958236E-2</v>
      </c>
      <c r="Q136" s="60">
        <v>0.13</v>
      </c>
      <c r="R136" s="187" t="s">
        <v>179</v>
      </c>
      <c r="S136" s="67">
        <v>44951</v>
      </c>
      <c r="T136" s="43" t="s">
        <v>224</v>
      </c>
      <c r="U136" s="89"/>
      <c r="V136" s="89"/>
    </row>
    <row r="137" spans="1:25" s="9" customFormat="1" ht="14.45" customHeight="1" x14ac:dyDescent="0.25">
      <c r="A137" s="25" t="s">
        <v>177</v>
      </c>
      <c r="B137" s="25" t="s">
        <v>149</v>
      </c>
      <c r="C137" s="42" t="s">
        <v>83</v>
      </c>
      <c r="D137" s="42" t="s">
        <v>178</v>
      </c>
      <c r="E137" s="42" t="s">
        <v>90</v>
      </c>
      <c r="F137" s="56" t="s">
        <v>9</v>
      </c>
      <c r="G137" s="56" t="str">
        <f t="shared" si="94"/>
        <v>Bérköltség</v>
      </c>
      <c r="H137" s="25" t="s">
        <v>15</v>
      </c>
      <c r="I137" s="57">
        <v>995000</v>
      </c>
      <c r="J137" s="57">
        <f t="shared" si="148"/>
        <v>129350</v>
      </c>
      <c r="K137" s="58">
        <v>174</v>
      </c>
      <c r="L137" s="58">
        <v>42</v>
      </c>
      <c r="M137" s="168">
        <f t="shared" si="149"/>
        <v>0.2413793103448276</v>
      </c>
      <c r="N137" s="88">
        <v>203966</v>
      </c>
      <c r="O137" s="88">
        <f t="shared" si="150"/>
        <v>26516</v>
      </c>
      <c r="P137" s="100">
        <f t="shared" si="151"/>
        <v>3.6388355570958236E-2</v>
      </c>
      <c r="Q137" s="60">
        <v>0.13</v>
      </c>
      <c r="R137" s="187" t="s">
        <v>179</v>
      </c>
      <c r="S137" s="67">
        <v>44951</v>
      </c>
      <c r="T137" s="43" t="s">
        <v>224</v>
      </c>
      <c r="U137" s="89"/>
      <c r="V137" s="89"/>
    </row>
    <row r="138" spans="1:25" s="9" customFormat="1" ht="14.45" customHeight="1" x14ac:dyDescent="0.25">
      <c r="A138" s="25" t="s">
        <v>177</v>
      </c>
      <c r="B138" s="25" t="s">
        <v>149</v>
      </c>
      <c r="C138" s="42" t="s">
        <v>83</v>
      </c>
      <c r="D138" s="42" t="s">
        <v>178</v>
      </c>
      <c r="E138" s="42" t="s">
        <v>91</v>
      </c>
      <c r="F138" s="56" t="s">
        <v>9</v>
      </c>
      <c r="G138" s="56" t="str">
        <f t="shared" si="94"/>
        <v>Bérköltség</v>
      </c>
      <c r="H138" s="25" t="s">
        <v>15</v>
      </c>
      <c r="I138" s="57">
        <v>995000</v>
      </c>
      <c r="J138" s="57">
        <f t="shared" si="148"/>
        <v>129350</v>
      </c>
      <c r="K138" s="58">
        <v>174</v>
      </c>
      <c r="L138" s="58">
        <v>42</v>
      </c>
      <c r="M138" s="168">
        <f t="shared" si="149"/>
        <v>0.2413793103448276</v>
      </c>
      <c r="N138" s="88">
        <v>203966</v>
      </c>
      <c r="O138" s="88">
        <f t="shared" si="150"/>
        <v>26516</v>
      </c>
      <c r="P138" s="100">
        <f t="shared" si="151"/>
        <v>3.6388355570958236E-2</v>
      </c>
      <c r="Q138" s="60">
        <v>0.13</v>
      </c>
      <c r="R138" s="187" t="s">
        <v>179</v>
      </c>
      <c r="S138" s="67">
        <v>44951</v>
      </c>
      <c r="T138" s="43" t="s">
        <v>224</v>
      </c>
      <c r="U138" s="89"/>
      <c r="V138" s="89"/>
    </row>
    <row r="139" spans="1:25" s="9" customFormat="1" ht="14.45" customHeight="1" x14ac:dyDescent="0.25">
      <c r="A139" s="25" t="s">
        <v>177</v>
      </c>
      <c r="B139" s="25" t="s">
        <v>149</v>
      </c>
      <c r="C139" s="42" t="s">
        <v>83</v>
      </c>
      <c r="D139" s="42" t="s">
        <v>178</v>
      </c>
      <c r="E139" s="42" t="s">
        <v>92</v>
      </c>
      <c r="F139" s="56" t="s">
        <v>9</v>
      </c>
      <c r="G139" s="56" t="str">
        <f t="shared" si="94"/>
        <v>Bérköltség</v>
      </c>
      <c r="H139" s="25" t="s">
        <v>15</v>
      </c>
      <c r="I139" s="57">
        <v>995000</v>
      </c>
      <c r="J139" s="57">
        <f t="shared" si="148"/>
        <v>129350</v>
      </c>
      <c r="K139" s="58">
        <v>174</v>
      </c>
      <c r="L139" s="58">
        <v>42</v>
      </c>
      <c r="M139" s="168">
        <f t="shared" si="149"/>
        <v>0.2413793103448276</v>
      </c>
      <c r="N139" s="88">
        <v>203966</v>
      </c>
      <c r="O139" s="88">
        <f t="shared" si="150"/>
        <v>26516</v>
      </c>
      <c r="P139" s="100">
        <f t="shared" si="151"/>
        <v>3.6388355570958236E-2</v>
      </c>
      <c r="Q139" s="60">
        <v>0.13</v>
      </c>
      <c r="R139" s="187" t="s">
        <v>179</v>
      </c>
      <c r="S139" s="67">
        <v>44951</v>
      </c>
      <c r="T139" s="43" t="s">
        <v>224</v>
      </c>
      <c r="U139" s="89"/>
      <c r="V139" s="89"/>
    </row>
    <row r="140" spans="1:25" s="9" customFormat="1" ht="14.45" customHeight="1" x14ac:dyDescent="0.25">
      <c r="A140" s="25" t="s">
        <v>177</v>
      </c>
      <c r="B140" s="25" t="s">
        <v>149</v>
      </c>
      <c r="C140" s="42" t="s">
        <v>83</v>
      </c>
      <c r="D140" s="42" t="s">
        <v>178</v>
      </c>
      <c r="E140" s="42" t="s">
        <v>93</v>
      </c>
      <c r="F140" s="56" t="s">
        <v>9</v>
      </c>
      <c r="G140" s="56" t="str">
        <f t="shared" si="94"/>
        <v>Bérköltség</v>
      </c>
      <c r="H140" s="25" t="s">
        <v>15</v>
      </c>
      <c r="I140" s="57">
        <v>995000</v>
      </c>
      <c r="J140" s="57">
        <f t="shared" si="148"/>
        <v>129350</v>
      </c>
      <c r="K140" s="58">
        <v>174</v>
      </c>
      <c r="L140" s="58">
        <v>42</v>
      </c>
      <c r="M140" s="168">
        <f t="shared" si="149"/>
        <v>0.2413793103448276</v>
      </c>
      <c r="N140" s="88">
        <v>203966</v>
      </c>
      <c r="O140" s="88">
        <f t="shared" si="150"/>
        <v>26516</v>
      </c>
      <c r="P140" s="100">
        <f t="shared" si="151"/>
        <v>3.6388355570958236E-2</v>
      </c>
      <c r="Q140" s="60">
        <v>0.13</v>
      </c>
      <c r="R140" s="187" t="s">
        <v>179</v>
      </c>
      <c r="S140" s="67">
        <v>44951</v>
      </c>
      <c r="T140" s="43" t="s">
        <v>224</v>
      </c>
      <c r="U140" s="89"/>
      <c r="V140" s="89"/>
    </row>
    <row r="141" spans="1:25" s="9" customFormat="1" ht="14.45" customHeight="1" x14ac:dyDescent="0.25">
      <c r="A141" s="25" t="s">
        <v>177</v>
      </c>
      <c r="B141" s="25" t="s">
        <v>149</v>
      </c>
      <c r="C141" s="42" t="s">
        <v>83</v>
      </c>
      <c r="D141" s="42" t="s">
        <v>178</v>
      </c>
      <c r="E141" s="42" t="s">
        <v>94</v>
      </c>
      <c r="F141" s="56" t="s">
        <v>9</v>
      </c>
      <c r="G141" s="56" t="str">
        <f t="shared" si="94"/>
        <v>Bérköltség</v>
      </c>
      <c r="H141" s="25" t="s">
        <v>15</v>
      </c>
      <c r="I141" s="57">
        <v>995000</v>
      </c>
      <c r="J141" s="57">
        <f t="shared" si="148"/>
        <v>129350</v>
      </c>
      <c r="K141" s="58">
        <v>174</v>
      </c>
      <c r="L141" s="58">
        <v>42</v>
      </c>
      <c r="M141" s="168">
        <f t="shared" si="149"/>
        <v>0.2413793103448276</v>
      </c>
      <c r="N141" s="88">
        <v>203966</v>
      </c>
      <c r="O141" s="88">
        <f t="shared" si="150"/>
        <v>26516</v>
      </c>
      <c r="P141" s="100">
        <f t="shared" si="151"/>
        <v>3.6388355570958236E-2</v>
      </c>
      <c r="Q141" s="60">
        <v>0.13</v>
      </c>
      <c r="R141" s="187" t="s">
        <v>179</v>
      </c>
      <c r="S141" s="67">
        <v>44951</v>
      </c>
      <c r="T141" s="43" t="s">
        <v>224</v>
      </c>
      <c r="U141" s="89"/>
      <c r="V141" s="89"/>
    </row>
    <row r="142" spans="1:25" s="9" customFormat="1" ht="14.45" customHeight="1" x14ac:dyDescent="0.25">
      <c r="A142" s="25" t="s">
        <v>177</v>
      </c>
      <c r="B142" s="25" t="s">
        <v>149</v>
      </c>
      <c r="C142" s="42" t="s">
        <v>83</v>
      </c>
      <c r="D142" s="42" t="s">
        <v>178</v>
      </c>
      <c r="E142" s="42" t="s">
        <v>95</v>
      </c>
      <c r="F142" s="56" t="s">
        <v>9</v>
      </c>
      <c r="G142" s="56" t="str">
        <f t="shared" si="94"/>
        <v>Bérköltség</v>
      </c>
      <c r="H142" s="25" t="s">
        <v>15</v>
      </c>
      <c r="I142" s="57">
        <v>995000</v>
      </c>
      <c r="J142" s="57">
        <f t="shared" si="148"/>
        <v>129350</v>
      </c>
      <c r="K142" s="58">
        <v>174</v>
      </c>
      <c r="L142" s="58">
        <v>42</v>
      </c>
      <c r="M142" s="168">
        <f t="shared" si="149"/>
        <v>0.2413793103448276</v>
      </c>
      <c r="N142" s="88">
        <v>203966</v>
      </c>
      <c r="O142" s="88">
        <f t="shared" si="150"/>
        <v>26516</v>
      </c>
      <c r="P142" s="100">
        <f t="shared" si="151"/>
        <v>3.6388355570958236E-2</v>
      </c>
      <c r="Q142" s="60">
        <v>0.13</v>
      </c>
      <c r="R142" s="187" t="s">
        <v>179</v>
      </c>
      <c r="S142" s="67">
        <v>44951</v>
      </c>
      <c r="T142" s="43" t="s">
        <v>224</v>
      </c>
      <c r="U142" s="89"/>
      <c r="V142" s="89"/>
    </row>
    <row r="143" spans="1:25" s="9" customFormat="1" ht="14.45" customHeight="1" x14ac:dyDescent="0.25">
      <c r="A143" s="25" t="s">
        <v>177</v>
      </c>
      <c r="B143" s="25" t="s">
        <v>149</v>
      </c>
      <c r="C143" s="42" t="s">
        <v>83</v>
      </c>
      <c r="D143" s="42" t="s">
        <v>178</v>
      </c>
      <c r="E143" s="42" t="s">
        <v>96</v>
      </c>
      <c r="F143" s="56" t="s">
        <v>9</v>
      </c>
      <c r="G143" s="56" t="str">
        <f t="shared" si="94"/>
        <v>Bérköltség</v>
      </c>
      <c r="H143" s="25" t="s">
        <v>15</v>
      </c>
      <c r="I143" s="57">
        <v>995000</v>
      </c>
      <c r="J143" s="57">
        <f t="shared" si="148"/>
        <v>129350</v>
      </c>
      <c r="K143" s="58">
        <v>174</v>
      </c>
      <c r="L143" s="58">
        <v>42</v>
      </c>
      <c r="M143" s="168">
        <f t="shared" si="149"/>
        <v>0.2413793103448276</v>
      </c>
      <c r="N143" s="88">
        <v>203966</v>
      </c>
      <c r="O143" s="88">
        <f t="shared" si="150"/>
        <v>26516</v>
      </c>
      <c r="P143" s="100">
        <f t="shared" si="151"/>
        <v>3.6388355570958236E-2</v>
      </c>
      <c r="Q143" s="60">
        <v>0.13</v>
      </c>
      <c r="R143" s="187" t="s">
        <v>179</v>
      </c>
      <c r="S143" s="67">
        <v>44951</v>
      </c>
      <c r="T143" s="43" t="s">
        <v>224</v>
      </c>
      <c r="U143" s="89"/>
      <c r="V143" s="89"/>
    </row>
    <row r="144" spans="1:25" s="9" customFormat="1" ht="14.45" customHeight="1" x14ac:dyDescent="0.25">
      <c r="A144" s="25" t="s">
        <v>148</v>
      </c>
      <c r="B144" s="25" t="s">
        <v>150</v>
      </c>
      <c r="C144" s="42" t="s">
        <v>84</v>
      </c>
      <c r="D144" s="42" t="s">
        <v>49</v>
      </c>
      <c r="E144" s="42" t="s">
        <v>86</v>
      </c>
      <c r="F144" s="56" t="s">
        <v>8</v>
      </c>
      <c r="G144" s="56" t="str">
        <f t="shared" si="0"/>
        <v>Bérköltség</v>
      </c>
      <c r="H144" s="25" t="s">
        <v>15</v>
      </c>
      <c r="I144" s="57">
        <v>690000</v>
      </c>
      <c r="J144" s="57">
        <f t="shared" si="84"/>
        <v>89700</v>
      </c>
      <c r="K144" s="58">
        <v>174</v>
      </c>
      <c r="L144" s="58">
        <v>92</v>
      </c>
      <c r="M144" s="168">
        <f t="shared" si="85"/>
        <v>0.52873563218390807</v>
      </c>
      <c r="N144" s="88">
        <f t="shared" si="86"/>
        <v>364828</v>
      </c>
      <c r="O144" s="88">
        <f t="shared" si="87"/>
        <v>47428</v>
      </c>
      <c r="P144" s="100">
        <f t="shared" si="88"/>
        <v>-5.9970014987253961E-7</v>
      </c>
      <c r="Q144" s="60">
        <v>0.13</v>
      </c>
      <c r="R144" s="187" t="s">
        <v>163</v>
      </c>
      <c r="S144" s="67"/>
      <c r="T144" s="43" t="s">
        <v>224</v>
      </c>
      <c r="U144" s="89"/>
      <c r="V144" s="89"/>
      <c r="W144" s="9" t="s">
        <v>234</v>
      </c>
      <c r="X144" s="9">
        <v>0</v>
      </c>
      <c r="Y144" s="9">
        <v>0</v>
      </c>
    </row>
    <row r="145" spans="1:25" s="9" customFormat="1" ht="14.45" customHeight="1" x14ac:dyDescent="0.25">
      <c r="A145" s="25" t="s">
        <v>148</v>
      </c>
      <c r="B145" s="25" t="s">
        <v>150</v>
      </c>
      <c r="C145" s="42" t="s">
        <v>84</v>
      </c>
      <c r="D145" s="42" t="s">
        <v>239</v>
      </c>
      <c r="E145" s="42" t="s">
        <v>87</v>
      </c>
      <c r="F145" s="56" t="s">
        <v>8</v>
      </c>
      <c r="G145" s="56" t="str">
        <f t="shared" si="0"/>
        <v>Bérköltség</v>
      </c>
      <c r="H145" s="25" t="s">
        <v>15</v>
      </c>
      <c r="I145" s="57">
        <v>690000</v>
      </c>
      <c r="J145" s="57">
        <f t="shared" ref="J145:J147" si="152">ROUND(I145*Q145,0)</f>
        <v>89700</v>
      </c>
      <c r="K145" s="58">
        <v>174</v>
      </c>
      <c r="L145" s="58">
        <v>92</v>
      </c>
      <c r="M145" s="168">
        <f t="shared" ref="M145:M147" si="153">L145/K145</f>
        <v>0.52873563218390807</v>
      </c>
      <c r="N145" s="88">
        <f t="shared" ref="N145:N147" si="154">ROUND(I145*M145,0)</f>
        <v>364828</v>
      </c>
      <c r="O145" s="88">
        <f t="shared" ref="O145:O147" si="155">ROUND(N145*Q145,0)</f>
        <v>47428</v>
      </c>
      <c r="P145" s="100">
        <f t="shared" ref="P145:P147" si="156">L145/K145-N145/I145</f>
        <v>-5.9970014987253961E-7</v>
      </c>
      <c r="Q145" s="60">
        <v>0.13</v>
      </c>
      <c r="R145" s="187" t="s">
        <v>163</v>
      </c>
      <c r="S145" s="67"/>
      <c r="T145" s="43" t="s">
        <v>224</v>
      </c>
      <c r="U145" s="89"/>
      <c r="V145" s="89"/>
      <c r="W145" s="9" t="str">
        <f>IF(VLOOKUP($R145,'Havi béradatok'!$B:$E,2,FALSE)=D145,"EGYEZIK","HIBÁS")</f>
        <v>EGYEZIK</v>
      </c>
      <c r="X145" s="9">
        <f>VLOOKUP($R145,'Havi béradatok'!$B:$E,3,FALSE)-I145</f>
        <v>1</v>
      </c>
      <c r="Y145" s="9">
        <f>VLOOKUP($R145,'Havi béradatok'!$B:$E,4,FALSE)-J145</f>
        <v>0</v>
      </c>
    </row>
    <row r="146" spans="1:25" s="9" customFormat="1" ht="14.45" customHeight="1" x14ac:dyDescent="0.25">
      <c r="A146" s="25" t="s">
        <v>148</v>
      </c>
      <c r="B146" s="25" t="s">
        <v>150</v>
      </c>
      <c r="C146" s="42" t="s">
        <v>84</v>
      </c>
      <c r="D146" s="42" t="s">
        <v>239</v>
      </c>
      <c r="E146" s="42" t="s">
        <v>88</v>
      </c>
      <c r="F146" s="56" t="s">
        <v>8</v>
      </c>
      <c r="G146" s="56" t="str">
        <f t="shared" si="0"/>
        <v>Bérköltség</v>
      </c>
      <c r="H146" s="25" t="s">
        <v>15</v>
      </c>
      <c r="I146" s="57">
        <v>690000</v>
      </c>
      <c r="J146" s="57">
        <f t="shared" si="152"/>
        <v>89700</v>
      </c>
      <c r="K146" s="58">
        <v>174</v>
      </c>
      <c r="L146" s="58">
        <v>92</v>
      </c>
      <c r="M146" s="168">
        <f t="shared" si="153"/>
        <v>0.52873563218390807</v>
      </c>
      <c r="N146" s="88">
        <f t="shared" si="154"/>
        <v>364828</v>
      </c>
      <c r="O146" s="88">
        <f t="shared" si="155"/>
        <v>47428</v>
      </c>
      <c r="P146" s="100">
        <f t="shared" si="156"/>
        <v>-5.9970014987253961E-7</v>
      </c>
      <c r="Q146" s="60">
        <v>0.13</v>
      </c>
      <c r="R146" s="187" t="s">
        <v>163</v>
      </c>
      <c r="S146" s="67"/>
      <c r="T146" s="43" t="s">
        <v>224</v>
      </c>
      <c r="U146" s="89"/>
      <c r="V146" s="89" t="s">
        <v>258</v>
      </c>
      <c r="W146" s="9" t="str">
        <f>IF(VLOOKUP($R146,'Havi béradatok'!$B:$E,2,FALSE)=D146,"EGYEZIK","HIBÁS")</f>
        <v>EGYEZIK</v>
      </c>
      <c r="X146" s="203">
        <f>VLOOKUP($R146,'Havi béradatok'!$B:$E,3,FALSE)-I146</f>
        <v>1</v>
      </c>
      <c r="Y146" s="9">
        <f>VLOOKUP($R146,'Havi béradatok'!$B:$E,4,FALSE)-J146</f>
        <v>0</v>
      </c>
    </row>
    <row r="147" spans="1:25" s="9" customFormat="1" ht="14.45" customHeight="1" x14ac:dyDescent="0.25">
      <c r="A147" s="25" t="s">
        <v>148</v>
      </c>
      <c r="B147" s="25" t="s">
        <v>150</v>
      </c>
      <c r="C147" s="42" t="s">
        <v>84</v>
      </c>
      <c r="D147" s="42" t="s">
        <v>49</v>
      </c>
      <c r="E147" s="42" t="s">
        <v>89</v>
      </c>
      <c r="F147" s="56" t="s">
        <v>9</v>
      </c>
      <c r="G147" s="56" t="str">
        <f t="shared" si="0"/>
        <v>Bérköltség</v>
      </c>
      <c r="H147" s="25" t="s">
        <v>15</v>
      </c>
      <c r="I147" s="57">
        <v>710250</v>
      </c>
      <c r="J147" s="57">
        <f t="shared" si="152"/>
        <v>92333</v>
      </c>
      <c r="K147" s="58">
        <v>174</v>
      </c>
      <c r="L147" s="58">
        <v>47</v>
      </c>
      <c r="M147" s="168">
        <f t="shared" si="153"/>
        <v>0.27011494252873564</v>
      </c>
      <c r="N147" s="88">
        <f t="shared" si="154"/>
        <v>191849</v>
      </c>
      <c r="O147" s="88">
        <f t="shared" si="155"/>
        <v>24940</v>
      </c>
      <c r="P147" s="100">
        <f t="shared" si="156"/>
        <v>1.9420068214648367E-7</v>
      </c>
      <c r="Q147" s="60">
        <v>0.13</v>
      </c>
      <c r="R147" s="187" t="s">
        <v>163</v>
      </c>
      <c r="S147" s="67">
        <v>45015</v>
      </c>
      <c r="T147" s="43"/>
      <c r="U147" s="89"/>
      <c r="V147" s="89"/>
    </row>
    <row r="148" spans="1:25" s="9" customFormat="1" ht="14.45" customHeight="1" x14ac:dyDescent="0.25">
      <c r="A148" s="25" t="s">
        <v>148</v>
      </c>
      <c r="B148" s="25" t="s">
        <v>150</v>
      </c>
      <c r="C148" s="42" t="s">
        <v>84</v>
      </c>
      <c r="D148" s="42" t="s">
        <v>49</v>
      </c>
      <c r="E148" s="42" t="s">
        <v>90</v>
      </c>
      <c r="F148" s="56" t="s">
        <v>9</v>
      </c>
      <c r="G148" s="56" t="str">
        <f t="shared" ref="G148:G150" si="157">IF(H148="Napidíj","Nem rendszeres juttatás","Bérköltség")</f>
        <v>Bérköltség</v>
      </c>
      <c r="H148" s="25" t="s">
        <v>15</v>
      </c>
      <c r="I148" s="57">
        <v>710250</v>
      </c>
      <c r="J148" s="57">
        <f t="shared" ref="J148" si="158">ROUND(I148*Q148,0)</f>
        <v>92333</v>
      </c>
      <c r="K148" s="58">
        <v>174</v>
      </c>
      <c r="L148" s="58">
        <v>47</v>
      </c>
      <c r="M148" s="168">
        <f t="shared" ref="M148" si="159">L148/K148</f>
        <v>0.27011494252873564</v>
      </c>
      <c r="N148" s="88">
        <f t="shared" ref="N148" si="160">ROUND(I148*M148,0)</f>
        <v>191849</v>
      </c>
      <c r="O148" s="88">
        <f t="shared" ref="O148" si="161">ROUND(N148*Q148,0)</f>
        <v>24940</v>
      </c>
      <c r="P148" s="100">
        <f t="shared" ref="P148" si="162">L148/K148-N148/I148</f>
        <v>1.9420068214648367E-7</v>
      </c>
      <c r="Q148" s="60">
        <v>0.13</v>
      </c>
      <c r="R148" s="187" t="s">
        <v>163</v>
      </c>
      <c r="S148" s="67">
        <v>45034</v>
      </c>
      <c r="T148" s="43"/>
      <c r="U148" s="89"/>
      <c r="V148" s="89"/>
    </row>
    <row r="149" spans="1:25" s="9" customFormat="1" ht="14.45" customHeight="1" x14ac:dyDescent="0.25">
      <c r="A149" s="25" t="s">
        <v>148</v>
      </c>
      <c r="B149" s="25" t="s">
        <v>150</v>
      </c>
      <c r="C149" s="42" t="s">
        <v>84</v>
      </c>
      <c r="D149" s="42" t="s">
        <v>49</v>
      </c>
      <c r="E149" s="42" t="s">
        <v>91</v>
      </c>
      <c r="F149" s="56" t="s">
        <v>9</v>
      </c>
      <c r="G149" s="56" t="str">
        <f t="shared" si="157"/>
        <v>Bérköltség</v>
      </c>
      <c r="H149" s="25" t="s">
        <v>15</v>
      </c>
      <c r="I149" s="57">
        <v>710250</v>
      </c>
      <c r="J149" s="57">
        <f t="shared" ref="J149:J150" si="163">ROUND(I149*Q149,0)</f>
        <v>92333</v>
      </c>
      <c r="K149" s="58">
        <v>174</v>
      </c>
      <c r="L149" s="58">
        <v>47</v>
      </c>
      <c r="M149" s="168">
        <f t="shared" ref="M149:M150" si="164">L149/K149</f>
        <v>0.27011494252873564</v>
      </c>
      <c r="N149" s="88">
        <f t="shared" ref="N149:N150" si="165">ROUND(I149*M149,0)</f>
        <v>191849</v>
      </c>
      <c r="O149" s="88">
        <f t="shared" ref="O149:O150" si="166">ROUND(N149*Q149,0)</f>
        <v>24940</v>
      </c>
      <c r="P149" s="100">
        <f t="shared" ref="P149:P150" si="167">L149/K149-N149/I149</f>
        <v>1.9420068214648367E-7</v>
      </c>
      <c r="Q149" s="60">
        <v>0.13</v>
      </c>
      <c r="R149" s="187" t="s">
        <v>163</v>
      </c>
      <c r="S149" s="67">
        <v>45034</v>
      </c>
      <c r="T149" s="43"/>
      <c r="U149" s="89"/>
      <c r="V149" s="89"/>
    </row>
    <row r="150" spans="1:25" s="9" customFormat="1" ht="14.45" customHeight="1" x14ac:dyDescent="0.25">
      <c r="A150" s="25" t="s">
        <v>148</v>
      </c>
      <c r="B150" s="25" t="s">
        <v>150</v>
      </c>
      <c r="C150" s="42" t="s">
        <v>84</v>
      </c>
      <c r="D150" s="42" t="s">
        <v>49</v>
      </c>
      <c r="E150" s="42" t="s">
        <v>92</v>
      </c>
      <c r="F150" s="56" t="s">
        <v>9</v>
      </c>
      <c r="G150" s="56" t="str">
        <f t="shared" si="157"/>
        <v>Bérköltség</v>
      </c>
      <c r="H150" s="25" t="s">
        <v>15</v>
      </c>
      <c r="I150" s="57">
        <v>710250</v>
      </c>
      <c r="J150" s="57">
        <f t="shared" si="163"/>
        <v>92333</v>
      </c>
      <c r="K150" s="58">
        <v>174</v>
      </c>
      <c r="L150" s="58">
        <v>47</v>
      </c>
      <c r="M150" s="168">
        <f t="shared" si="164"/>
        <v>0.27011494252873564</v>
      </c>
      <c r="N150" s="88">
        <f t="shared" si="165"/>
        <v>191849</v>
      </c>
      <c r="O150" s="88">
        <f t="shared" si="166"/>
        <v>24940</v>
      </c>
      <c r="P150" s="100">
        <f t="shared" si="167"/>
        <v>1.9420068214648367E-7</v>
      </c>
      <c r="Q150" s="60">
        <v>0.13</v>
      </c>
      <c r="R150" s="187" t="s">
        <v>163</v>
      </c>
      <c r="S150" s="67">
        <v>45034</v>
      </c>
      <c r="T150" s="43"/>
      <c r="U150" s="89"/>
      <c r="V150" s="89"/>
    </row>
    <row r="151" spans="1:25" s="9" customFormat="1" ht="14.45" customHeight="1" x14ac:dyDescent="0.25">
      <c r="A151" s="25"/>
      <c r="B151" s="25"/>
      <c r="C151" s="42"/>
      <c r="D151" s="42"/>
      <c r="E151" s="42"/>
      <c r="F151" s="56"/>
      <c r="G151" s="56"/>
      <c r="H151" s="25"/>
      <c r="I151" s="57"/>
      <c r="J151" s="57"/>
      <c r="K151" s="58"/>
      <c r="L151" s="58"/>
      <c r="M151" s="168"/>
      <c r="N151" s="88"/>
      <c r="O151" s="88"/>
      <c r="P151" s="100"/>
      <c r="Q151" s="60"/>
      <c r="R151" s="187"/>
      <c r="S151" s="67"/>
      <c r="T151" s="43"/>
      <c r="U151" s="89"/>
      <c r="V151" s="89"/>
    </row>
    <row r="152" spans="1:25" s="9" customFormat="1" ht="14.45" customHeight="1" x14ac:dyDescent="0.25">
      <c r="A152" s="25"/>
      <c r="B152" s="25"/>
      <c r="C152" s="42"/>
      <c r="D152" s="42"/>
      <c r="E152" s="42"/>
      <c r="F152" s="56"/>
      <c r="G152" s="56"/>
      <c r="H152" s="25"/>
      <c r="I152" s="57"/>
      <c r="J152" s="57"/>
      <c r="K152" s="58"/>
      <c r="L152" s="58"/>
      <c r="M152" s="168"/>
      <c r="N152" s="88"/>
      <c r="O152" s="88"/>
      <c r="P152" s="100"/>
      <c r="Q152" s="60"/>
      <c r="R152" s="187"/>
      <c r="S152" s="67"/>
      <c r="T152" s="43"/>
      <c r="U152" s="89"/>
      <c r="V152" s="89"/>
    </row>
    <row r="153" spans="1:25" s="9" customFormat="1" ht="14.45" customHeight="1" x14ac:dyDescent="0.25">
      <c r="A153" s="25"/>
      <c r="B153" s="25"/>
      <c r="C153" s="42"/>
      <c r="D153" s="42"/>
      <c r="E153" s="42"/>
      <c r="F153" s="56"/>
      <c r="G153" s="56"/>
      <c r="H153" s="25"/>
      <c r="I153" s="57"/>
      <c r="J153" s="57"/>
      <c r="K153" s="58"/>
      <c r="L153" s="58"/>
      <c r="M153" s="168"/>
      <c r="N153" s="88"/>
      <c r="O153" s="88"/>
      <c r="P153" s="100"/>
      <c r="Q153" s="60"/>
      <c r="R153" s="187"/>
      <c r="S153" s="67"/>
      <c r="T153" s="43"/>
      <c r="U153" s="89"/>
      <c r="V153" s="89"/>
    </row>
    <row r="154" spans="1:25" s="9" customFormat="1" ht="14.45" customHeight="1" x14ac:dyDescent="0.25">
      <c r="A154" s="25"/>
      <c r="B154" s="25"/>
      <c r="C154" s="42"/>
      <c r="D154" s="42"/>
      <c r="E154" s="42"/>
      <c r="F154" s="56"/>
      <c r="G154" s="56"/>
      <c r="H154" s="25"/>
      <c r="I154" s="57"/>
      <c r="J154" s="57"/>
      <c r="K154" s="58"/>
      <c r="L154" s="58"/>
      <c r="M154" s="168"/>
      <c r="N154" s="88"/>
      <c r="O154" s="88"/>
      <c r="P154" s="100"/>
      <c r="Q154" s="60"/>
      <c r="R154" s="187"/>
      <c r="S154" s="67"/>
      <c r="T154" s="43"/>
      <c r="U154" s="89"/>
      <c r="V154" s="89"/>
    </row>
    <row r="155" spans="1:25" s="9" customFormat="1" ht="14.45" customHeight="1" x14ac:dyDescent="0.25">
      <c r="A155" s="25"/>
      <c r="B155" s="25"/>
      <c r="C155" s="42"/>
      <c r="D155" s="42"/>
      <c r="E155" s="42"/>
      <c r="F155" s="56"/>
      <c r="G155" s="56"/>
      <c r="H155" s="25"/>
      <c r="I155" s="57"/>
      <c r="J155" s="57"/>
      <c r="K155" s="58"/>
      <c r="L155" s="58"/>
      <c r="M155" s="168"/>
      <c r="N155" s="88"/>
      <c r="O155" s="88"/>
      <c r="P155" s="100"/>
      <c r="Q155" s="60"/>
      <c r="R155" s="187"/>
      <c r="S155" s="67"/>
      <c r="T155" s="43"/>
      <c r="U155" s="89"/>
      <c r="V155" s="89"/>
    </row>
    <row r="156" spans="1:25" ht="14.45" customHeight="1" x14ac:dyDescent="0.25">
      <c r="A156" s="25"/>
      <c r="B156" s="25"/>
      <c r="C156" s="42"/>
      <c r="D156" s="42"/>
      <c r="E156" s="42"/>
      <c r="F156" s="56"/>
      <c r="G156" s="56"/>
      <c r="H156" s="25"/>
      <c r="I156" s="57"/>
      <c r="J156" s="57"/>
      <c r="K156" s="58"/>
      <c r="L156" s="58"/>
      <c r="M156" s="168"/>
      <c r="N156" s="59"/>
      <c r="O156" s="88"/>
      <c r="P156" s="60"/>
      <c r="Q156" s="60"/>
      <c r="R156" s="187"/>
      <c r="S156" s="67"/>
      <c r="T156" s="43"/>
      <c r="U156" s="116"/>
      <c r="V156" s="89"/>
    </row>
    <row r="157" spans="1:25" ht="14.45" customHeight="1" x14ac:dyDescent="0.25">
      <c r="A157" s="49"/>
      <c r="B157" s="25"/>
      <c r="C157" s="50"/>
      <c r="D157" s="50"/>
      <c r="E157" s="50"/>
      <c r="F157" s="85"/>
      <c r="G157" s="85"/>
      <c r="H157" s="49"/>
      <c r="I157" s="86"/>
      <c r="J157" s="86"/>
      <c r="K157" s="62"/>
      <c r="L157" s="62"/>
      <c r="M157" s="62"/>
      <c r="N157" s="63"/>
      <c r="O157" s="63"/>
      <c r="P157" s="65"/>
      <c r="Q157" s="65"/>
      <c r="R157" s="188"/>
      <c r="S157" s="87"/>
      <c r="T157" s="87"/>
      <c r="U157" s="116"/>
    </row>
    <row r="158" spans="1:25" ht="14.45" customHeight="1" x14ac:dyDescent="0.25">
      <c r="A158" s="72" t="s">
        <v>39</v>
      </c>
      <c r="B158" s="72"/>
      <c r="C158" s="73"/>
      <c r="D158" s="73"/>
      <c r="E158" s="73"/>
      <c r="F158" s="74"/>
      <c r="G158" s="74"/>
      <c r="H158" s="72"/>
      <c r="I158" s="75"/>
      <c r="J158" s="75"/>
      <c r="K158" s="76"/>
      <c r="L158" s="76"/>
      <c r="M158" s="76"/>
      <c r="N158" s="77"/>
      <c r="O158" s="77"/>
      <c r="P158" s="78"/>
      <c r="Q158" s="78"/>
      <c r="R158" s="189"/>
      <c r="S158" s="79"/>
      <c r="T158" s="79"/>
      <c r="U158" s="117"/>
    </row>
    <row r="159" spans="1:25" ht="14.45" customHeight="1" x14ac:dyDescent="0.25">
      <c r="A159" s="25"/>
      <c r="B159" s="25"/>
      <c r="C159" s="42"/>
      <c r="D159" s="42"/>
      <c r="E159" s="42"/>
      <c r="F159" s="56"/>
      <c r="G159" s="56" t="str">
        <f t="shared" ref="G159:G174" si="168">IF(H159="Napidíj","Nem rendszeres juttatás","Bérköltség")</f>
        <v>Bérköltség</v>
      </c>
      <c r="H159" s="25"/>
      <c r="I159" s="57"/>
      <c r="J159" s="57"/>
      <c r="K159" s="58"/>
      <c r="L159" s="58"/>
      <c r="M159" s="58"/>
      <c r="N159" s="59"/>
      <c r="O159" s="59"/>
      <c r="P159" s="60"/>
      <c r="Q159" s="60"/>
      <c r="R159" s="187"/>
      <c r="S159" s="43"/>
      <c r="T159" s="43"/>
      <c r="U159" s="116"/>
    </row>
    <row r="160" spans="1:25" s="9" customFormat="1" ht="14.45" customHeight="1" x14ac:dyDescent="0.25">
      <c r="A160" s="25"/>
      <c r="B160" s="25"/>
      <c r="C160" s="42"/>
      <c r="D160" s="42"/>
      <c r="E160" s="42"/>
      <c r="F160" s="56"/>
      <c r="G160" s="56" t="str">
        <f t="shared" si="168"/>
        <v>Bérköltség</v>
      </c>
      <c r="H160" s="25"/>
      <c r="I160" s="57"/>
      <c r="J160" s="57"/>
      <c r="K160" s="58"/>
      <c r="L160" s="58"/>
      <c r="M160" s="58"/>
      <c r="N160" s="59"/>
      <c r="O160" s="88">
        <f t="shared" ref="O160" si="169">ROUND(N160*0.9*Q160,0)</f>
        <v>0</v>
      </c>
      <c r="P160" s="60"/>
      <c r="Q160" s="60">
        <v>0.13</v>
      </c>
      <c r="R160" s="187"/>
      <c r="S160" s="67"/>
      <c r="T160" s="43"/>
      <c r="U160" s="89"/>
      <c r="V160" s="89"/>
    </row>
    <row r="161" spans="1:22" s="9" customFormat="1" ht="14.45" customHeight="1" x14ac:dyDescent="0.25">
      <c r="A161" s="25"/>
      <c r="B161" s="25"/>
      <c r="C161" s="42"/>
      <c r="D161" s="42"/>
      <c r="E161" s="42"/>
      <c r="F161" s="56"/>
      <c r="G161" s="56" t="str">
        <f t="shared" si="168"/>
        <v>Bérköltség</v>
      </c>
      <c r="H161" s="25"/>
      <c r="I161" s="57"/>
      <c r="J161" s="57"/>
      <c r="K161" s="58"/>
      <c r="L161" s="58"/>
      <c r="M161" s="58"/>
      <c r="N161" s="59"/>
      <c r="O161" s="88">
        <f t="shared" ref="O161" si="170">ROUND(N161*0.9*Q161,0)</f>
        <v>0</v>
      </c>
      <c r="P161" s="60"/>
      <c r="Q161" s="60">
        <v>0.13</v>
      </c>
      <c r="R161" s="187"/>
      <c r="S161" s="67"/>
      <c r="T161" s="43"/>
      <c r="U161" s="89"/>
      <c r="V161" s="89"/>
    </row>
    <row r="162" spans="1:22" s="9" customFormat="1" ht="14.45" customHeight="1" x14ac:dyDescent="0.25">
      <c r="A162" s="25"/>
      <c r="B162" s="25"/>
      <c r="C162" s="42"/>
      <c r="D162" s="42"/>
      <c r="E162" s="42"/>
      <c r="F162" s="56"/>
      <c r="G162" s="56" t="str">
        <f t="shared" si="168"/>
        <v>Bérköltség</v>
      </c>
      <c r="H162" s="25"/>
      <c r="I162" s="57"/>
      <c r="J162" s="57"/>
      <c r="K162" s="58"/>
      <c r="L162" s="58"/>
      <c r="M162" s="58"/>
      <c r="N162" s="59"/>
      <c r="O162" s="88">
        <f t="shared" ref="O162:O164" si="171">ROUND(N162*0.9*Q162,0)</f>
        <v>0</v>
      </c>
      <c r="P162" s="60"/>
      <c r="Q162" s="60">
        <v>0.13</v>
      </c>
      <c r="R162" s="187"/>
      <c r="S162" s="67"/>
      <c r="T162" s="43"/>
      <c r="U162" s="89"/>
      <c r="V162" s="89"/>
    </row>
    <row r="163" spans="1:22" s="9" customFormat="1" ht="14.45" customHeight="1" x14ac:dyDescent="0.25">
      <c r="A163" s="25"/>
      <c r="B163" s="25"/>
      <c r="C163" s="42"/>
      <c r="D163" s="42"/>
      <c r="E163" s="42"/>
      <c r="F163" s="56"/>
      <c r="G163" s="56" t="str">
        <f t="shared" si="168"/>
        <v>Bérköltség</v>
      </c>
      <c r="H163" s="25"/>
      <c r="I163" s="57"/>
      <c r="J163" s="57"/>
      <c r="K163" s="58"/>
      <c r="L163" s="58"/>
      <c r="M163" s="58"/>
      <c r="N163" s="59"/>
      <c r="O163" s="88">
        <f t="shared" si="171"/>
        <v>0</v>
      </c>
      <c r="P163" s="60"/>
      <c r="Q163" s="60">
        <v>0.13</v>
      </c>
      <c r="R163" s="187"/>
      <c r="S163" s="67"/>
      <c r="T163" s="43"/>
      <c r="U163" s="89"/>
      <c r="V163" s="89"/>
    </row>
    <row r="164" spans="1:22" s="9" customFormat="1" ht="14.45" customHeight="1" x14ac:dyDescent="0.25">
      <c r="A164" s="25"/>
      <c r="B164" s="25"/>
      <c r="C164" s="42"/>
      <c r="D164" s="42"/>
      <c r="E164" s="42"/>
      <c r="F164" s="56"/>
      <c r="G164" s="56" t="str">
        <f t="shared" si="168"/>
        <v>Bérköltség</v>
      </c>
      <c r="H164" s="25"/>
      <c r="I164" s="57"/>
      <c r="J164" s="57"/>
      <c r="K164" s="58"/>
      <c r="L164" s="58"/>
      <c r="M164" s="58"/>
      <c r="N164" s="59"/>
      <c r="O164" s="88">
        <f t="shared" si="171"/>
        <v>0</v>
      </c>
      <c r="P164" s="60"/>
      <c r="Q164" s="60">
        <v>0.13</v>
      </c>
      <c r="R164" s="187"/>
      <c r="S164" s="67"/>
      <c r="T164" s="43"/>
      <c r="U164" s="89"/>
      <c r="V164" s="89"/>
    </row>
    <row r="165" spans="1:22" s="9" customFormat="1" ht="14.45" customHeight="1" x14ac:dyDescent="0.25">
      <c r="A165" s="25"/>
      <c r="B165" s="25"/>
      <c r="C165" s="42"/>
      <c r="D165" s="42"/>
      <c r="E165" s="42"/>
      <c r="F165" s="56"/>
      <c r="G165" s="56" t="str">
        <f t="shared" si="168"/>
        <v>Bérköltség</v>
      </c>
      <c r="H165" s="25"/>
      <c r="I165" s="57"/>
      <c r="J165" s="57"/>
      <c r="K165" s="58"/>
      <c r="L165" s="58"/>
      <c r="M165" s="58"/>
      <c r="N165" s="59"/>
      <c r="O165" s="88">
        <f t="shared" ref="O165:O167" si="172">ROUND(N165*0.9*Q165,0)</f>
        <v>0</v>
      </c>
      <c r="P165" s="60"/>
      <c r="Q165" s="60">
        <v>0.13</v>
      </c>
      <c r="R165" s="187"/>
      <c r="S165" s="67"/>
      <c r="T165" s="43"/>
      <c r="U165" s="89"/>
      <c r="V165" s="89"/>
    </row>
    <row r="166" spans="1:22" s="9" customFormat="1" ht="14.45" customHeight="1" x14ac:dyDescent="0.25">
      <c r="A166" s="25"/>
      <c r="B166" s="25"/>
      <c r="C166" s="42"/>
      <c r="D166" s="42"/>
      <c r="E166" s="42"/>
      <c r="F166" s="56"/>
      <c r="G166" s="56" t="str">
        <f t="shared" si="168"/>
        <v>Bérköltség</v>
      </c>
      <c r="H166" s="25"/>
      <c r="I166" s="57"/>
      <c r="J166" s="57"/>
      <c r="K166" s="58"/>
      <c r="L166" s="58"/>
      <c r="M166" s="58"/>
      <c r="N166" s="59"/>
      <c r="O166" s="88">
        <f t="shared" si="172"/>
        <v>0</v>
      </c>
      <c r="P166" s="60"/>
      <c r="Q166" s="60">
        <v>0.13</v>
      </c>
      <c r="R166" s="187"/>
      <c r="S166" s="67"/>
      <c r="T166" s="43"/>
      <c r="U166" s="89"/>
      <c r="V166" s="89"/>
    </row>
    <row r="167" spans="1:22" s="9" customFormat="1" ht="14.45" customHeight="1" x14ac:dyDescent="0.25">
      <c r="A167" s="25"/>
      <c r="B167" s="25"/>
      <c r="C167" s="42"/>
      <c r="D167" s="42"/>
      <c r="E167" s="42"/>
      <c r="F167" s="56"/>
      <c r="G167" s="56" t="str">
        <f t="shared" si="168"/>
        <v>Bérköltség</v>
      </c>
      <c r="H167" s="25"/>
      <c r="I167" s="57"/>
      <c r="J167" s="57"/>
      <c r="K167" s="58"/>
      <c r="L167" s="58"/>
      <c r="M167" s="58"/>
      <c r="N167" s="59"/>
      <c r="O167" s="88">
        <f t="shared" si="172"/>
        <v>0</v>
      </c>
      <c r="P167" s="60"/>
      <c r="Q167" s="60">
        <v>0.13</v>
      </c>
      <c r="R167" s="187"/>
      <c r="S167" s="67"/>
      <c r="T167" s="43"/>
      <c r="U167" s="89"/>
      <c r="V167" s="89"/>
    </row>
    <row r="168" spans="1:22" s="9" customFormat="1" ht="14.45" customHeight="1" x14ac:dyDescent="0.25">
      <c r="A168" s="25"/>
      <c r="B168" s="25"/>
      <c r="C168" s="42"/>
      <c r="D168" s="42"/>
      <c r="E168" s="42"/>
      <c r="F168" s="56"/>
      <c r="G168" s="56" t="str">
        <f t="shared" si="168"/>
        <v>Bérköltség</v>
      </c>
      <c r="H168" s="25"/>
      <c r="I168" s="57"/>
      <c r="J168" s="57"/>
      <c r="K168" s="58"/>
      <c r="L168" s="58"/>
      <c r="M168" s="58"/>
      <c r="N168" s="59"/>
      <c r="O168" s="88">
        <f t="shared" ref="O168:O169" si="173">ROUND(N168*0.9*Q168,0)</f>
        <v>0</v>
      </c>
      <c r="P168" s="60"/>
      <c r="Q168" s="60">
        <v>0.13</v>
      </c>
      <c r="R168" s="187"/>
      <c r="S168" s="67"/>
      <c r="T168" s="43"/>
      <c r="U168" s="89"/>
      <c r="V168" s="89"/>
    </row>
    <row r="169" spans="1:22" s="9" customFormat="1" ht="14.45" customHeight="1" x14ac:dyDescent="0.25">
      <c r="A169" s="25"/>
      <c r="B169" s="25"/>
      <c r="C169" s="42"/>
      <c r="D169" s="42"/>
      <c r="E169" s="42"/>
      <c r="F169" s="56"/>
      <c r="G169" s="56" t="str">
        <f t="shared" si="168"/>
        <v>Bérköltség</v>
      </c>
      <c r="H169" s="25"/>
      <c r="I169" s="57"/>
      <c r="J169" s="57"/>
      <c r="K169" s="58"/>
      <c r="L169" s="58"/>
      <c r="M169" s="58"/>
      <c r="N169" s="59"/>
      <c r="O169" s="88">
        <f t="shared" si="173"/>
        <v>0</v>
      </c>
      <c r="P169" s="60"/>
      <c r="Q169" s="60">
        <v>0.13</v>
      </c>
      <c r="R169" s="187"/>
      <c r="S169" s="67"/>
      <c r="T169" s="43"/>
      <c r="U169" s="89"/>
      <c r="V169" s="89"/>
    </row>
    <row r="170" spans="1:22" s="9" customFormat="1" ht="14.45" customHeight="1" x14ac:dyDescent="0.25">
      <c r="A170" s="25"/>
      <c r="B170" s="25"/>
      <c r="C170" s="42"/>
      <c r="D170" s="42"/>
      <c r="E170" s="42"/>
      <c r="F170" s="56"/>
      <c r="G170" s="56" t="str">
        <f t="shared" si="168"/>
        <v>Bérköltség</v>
      </c>
      <c r="H170" s="25"/>
      <c r="I170" s="57"/>
      <c r="J170" s="57"/>
      <c r="K170" s="58"/>
      <c r="L170" s="58"/>
      <c r="M170" s="58"/>
      <c r="N170" s="59"/>
      <c r="O170" s="88">
        <f t="shared" ref="O170" si="174">ROUND(N170*0.9*Q170,0)</f>
        <v>0</v>
      </c>
      <c r="P170" s="100"/>
      <c r="Q170" s="60">
        <v>0.13</v>
      </c>
      <c r="R170" s="187"/>
      <c r="S170" s="67"/>
      <c r="T170" s="43"/>
      <c r="U170" s="89"/>
      <c r="V170" s="89"/>
    </row>
    <row r="171" spans="1:22" ht="14.45" customHeight="1" x14ac:dyDescent="0.25">
      <c r="A171" s="25"/>
      <c r="B171" s="25"/>
      <c r="C171" s="42"/>
      <c r="D171" s="42"/>
      <c r="E171" s="42"/>
      <c r="F171" s="56"/>
      <c r="G171" s="56" t="str">
        <f t="shared" si="168"/>
        <v>Bérköltség</v>
      </c>
      <c r="H171" s="25"/>
      <c r="I171" s="57"/>
      <c r="J171" s="57"/>
      <c r="K171" s="58"/>
      <c r="L171" s="58"/>
      <c r="M171" s="58"/>
      <c r="N171" s="59"/>
      <c r="O171" s="88"/>
      <c r="P171" s="100"/>
      <c r="Q171" s="60"/>
      <c r="R171" s="187"/>
      <c r="S171" s="43"/>
      <c r="T171" s="43"/>
      <c r="U171" s="116"/>
    </row>
    <row r="172" spans="1:22" ht="14.45" customHeight="1" x14ac:dyDescent="0.25">
      <c r="A172" s="25"/>
      <c r="B172" s="25"/>
      <c r="C172" s="42"/>
      <c r="D172" s="42"/>
      <c r="E172" s="42"/>
      <c r="F172" s="56"/>
      <c r="G172" s="56" t="str">
        <f t="shared" si="168"/>
        <v>Bérköltség</v>
      </c>
      <c r="H172" s="25"/>
      <c r="I172" s="57"/>
      <c r="J172" s="57"/>
      <c r="K172" s="58"/>
      <c r="L172" s="58"/>
      <c r="M172" s="58"/>
      <c r="N172" s="59"/>
      <c r="O172" s="88"/>
      <c r="P172" s="100"/>
      <c r="Q172" s="60"/>
      <c r="R172" s="187"/>
      <c r="S172" s="43"/>
      <c r="T172" s="43"/>
      <c r="U172" s="116"/>
    </row>
    <row r="173" spans="1:22" ht="14.45" customHeight="1" x14ac:dyDescent="0.25">
      <c r="A173" s="25"/>
      <c r="B173" s="25"/>
      <c r="C173" s="42"/>
      <c r="D173" s="42"/>
      <c r="E173" s="42"/>
      <c r="F173" s="56"/>
      <c r="G173" s="56" t="str">
        <f t="shared" si="168"/>
        <v>Bérköltség</v>
      </c>
      <c r="H173" s="25"/>
      <c r="I173" s="57"/>
      <c r="J173" s="57"/>
      <c r="K173" s="58"/>
      <c r="L173" s="58"/>
      <c r="M173" s="58"/>
      <c r="N173" s="59"/>
      <c r="O173" s="88"/>
      <c r="P173" s="100"/>
      <c r="Q173" s="60"/>
      <c r="R173" s="187"/>
      <c r="S173" s="43"/>
      <c r="T173" s="43"/>
      <c r="U173" s="116"/>
    </row>
    <row r="174" spans="1:22" s="9" customFormat="1" ht="15" customHeight="1" x14ac:dyDescent="0.25">
      <c r="A174" s="25"/>
      <c r="B174" s="25"/>
      <c r="C174" s="42"/>
      <c r="D174" s="42"/>
      <c r="E174" s="42"/>
      <c r="F174" s="56"/>
      <c r="G174" s="56" t="str">
        <f t="shared" si="168"/>
        <v>Bérköltség</v>
      </c>
      <c r="H174" s="25"/>
      <c r="I174" s="57"/>
      <c r="J174" s="57"/>
      <c r="K174" s="58"/>
      <c r="L174" s="58"/>
      <c r="M174" s="58"/>
      <c r="N174" s="59"/>
      <c r="O174" s="59"/>
      <c r="P174" s="60"/>
      <c r="Q174" s="60"/>
      <c r="R174" s="187"/>
      <c r="S174" s="43"/>
      <c r="T174" s="43"/>
      <c r="U174" s="116"/>
      <c r="V174" s="1"/>
    </row>
    <row r="175" spans="1:22" ht="15" customHeight="1" x14ac:dyDescent="0.25">
      <c r="A175" s="49"/>
      <c r="B175" s="49"/>
      <c r="C175" s="49"/>
      <c r="D175" s="50"/>
      <c r="E175" s="50"/>
      <c r="F175" s="49"/>
      <c r="G175" s="49"/>
      <c r="H175" s="49"/>
      <c r="I175" s="61"/>
      <c r="J175" s="61"/>
      <c r="K175" s="62"/>
      <c r="L175" s="62"/>
      <c r="M175" s="62"/>
      <c r="N175" s="63"/>
      <c r="O175" s="63"/>
      <c r="P175" s="64"/>
      <c r="Q175" s="65"/>
      <c r="R175" s="188"/>
      <c r="S175" s="66"/>
      <c r="T175" s="66"/>
      <c r="U175" s="116"/>
    </row>
    <row r="176" spans="1:22" s="9" customFormat="1" x14ac:dyDescent="0.25">
      <c r="A176" s="120" t="s">
        <v>2</v>
      </c>
      <c r="B176" s="120"/>
      <c r="C176" s="2"/>
      <c r="D176" s="2"/>
      <c r="E176" s="55"/>
      <c r="F176" s="121"/>
      <c r="G176" s="121"/>
      <c r="H176" s="121"/>
      <c r="I176" s="122"/>
      <c r="J176" s="122"/>
      <c r="K176" s="123"/>
      <c r="L176" s="124"/>
      <c r="M176" s="124"/>
      <c r="N176" s="125">
        <f>SUBTOTAL(109,N6:N175)</f>
        <v>49748606</v>
      </c>
      <c r="O176" s="125">
        <f>SUBTOTAL(109,O6:O175)</f>
        <v>6437160</v>
      </c>
      <c r="P176" s="126"/>
      <c r="Q176" s="126"/>
      <c r="R176" s="126"/>
      <c r="S176" s="127"/>
      <c r="T176" s="127"/>
      <c r="U176" s="128"/>
      <c r="V176" s="89"/>
    </row>
    <row r="177" spans="12:16" x14ac:dyDescent="0.25">
      <c r="N177" s="114"/>
    </row>
    <row r="178" spans="12:16" ht="14.45" customHeight="1" x14ac:dyDescent="0.25">
      <c r="L178" s="15"/>
      <c r="M178" s="15"/>
      <c r="N178"/>
      <c r="O178"/>
    </row>
    <row r="180" spans="12:16" x14ac:dyDescent="0.25">
      <c r="P180" s="37" t="s">
        <v>70</v>
      </c>
    </row>
  </sheetData>
  <autoFilter ref="A5:X175" xr:uid="{00000000-0009-0000-0000-000001000000}"/>
  <sortState xmlns:xlrd2="http://schemas.microsoft.com/office/spreadsheetml/2017/richdata2" ref="A6:AH155">
    <sortCondition ref="A6:A155"/>
    <sortCondition ref="E6:E155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A630CF02-35CA-4584-BD89-3AFF5D960C03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1">
    <mergeCell ref="A2:E2"/>
  </mergeCells>
  <phoneticPr fontId="40" type="noConversion"/>
  <dataValidations count="2">
    <dataValidation type="list" allowBlank="1" showInputMessage="1" showErrorMessage="1" sqref="S175:T175" xr:uid="{00000000-0002-0000-0100-000000000000}">
      <formula1>#REF!</formula1>
    </dataValidation>
    <dataValidation type="list" allowBlank="1" showInputMessage="1" showErrorMessage="1" sqref="A65373:D65380 A65364:D65371 A65382:D65382 H6:H175 F6:F175 B6:C175 E8:E13 E119:E125 E91:E117 E62:E89 E6 E15:E60 E127:E175" xr:uid="{00000000-0002-0000-0100-000002000000}">
      <formula1>#REF!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L28"/>
  <sheetViews>
    <sheetView topLeftCell="A6" zoomScaleNormal="100" workbookViewId="0">
      <selection activeCell="B16" sqref="B16"/>
    </sheetView>
  </sheetViews>
  <sheetFormatPr defaultColWidth="9.140625" defaultRowHeight="15" outlineLevelRow="1" x14ac:dyDescent="0.25"/>
  <cols>
    <col min="1" max="1" width="11.85546875" customWidth="1"/>
    <col min="2" max="2" width="26.85546875" customWidth="1"/>
    <col min="3" max="3" width="22" customWidth="1"/>
    <col min="4" max="4" width="23.85546875" customWidth="1"/>
    <col min="5" max="5" width="34.85546875" customWidth="1"/>
    <col min="6" max="6" width="32.5703125" style="15" customWidth="1"/>
    <col min="7" max="7" width="21.42578125" style="15" customWidth="1"/>
    <col min="8" max="8" width="17.85546875" style="15" customWidth="1"/>
    <col min="9" max="9" width="17.140625" style="10" customWidth="1"/>
    <col min="10" max="10" width="17.140625" style="17" customWidth="1"/>
    <col min="11" max="11" width="14" style="15" customWidth="1"/>
    <col min="12" max="12" width="18.28515625" customWidth="1"/>
    <col min="13" max="14" width="9.140625" customWidth="1"/>
    <col min="15" max="16" width="10.140625" bestFit="1" customWidth="1"/>
  </cols>
  <sheetData>
    <row r="1" spans="1:12" s="12" customFormat="1" hidden="1" outlineLevel="1" x14ac:dyDescent="0.25">
      <c r="B1" s="12" t="s">
        <v>55</v>
      </c>
      <c r="F1" s="14"/>
      <c r="G1" s="14"/>
      <c r="H1" s="14"/>
      <c r="I1" s="13"/>
      <c r="J1" s="16" t="s">
        <v>8</v>
      </c>
      <c r="K1" s="12" t="s">
        <v>83</v>
      </c>
    </row>
    <row r="2" spans="1:12" s="12" customFormat="1" hidden="1" outlineLevel="1" x14ac:dyDescent="0.25">
      <c r="B2" s="12" t="s">
        <v>75</v>
      </c>
      <c r="F2" s="14"/>
      <c r="G2" s="14"/>
      <c r="H2" s="14"/>
      <c r="I2" s="13"/>
      <c r="J2" s="16" t="s">
        <v>9</v>
      </c>
      <c r="K2" s="12" t="s">
        <v>84</v>
      </c>
    </row>
    <row r="3" spans="1:12" s="12" customFormat="1" hidden="1" outlineLevel="1" x14ac:dyDescent="0.25">
      <c r="B3" s="12" t="s">
        <v>136</v>
      </c>
      <c r="F3" s="14"/>
      <c r="G3" s="14"/>
      <c r="H3" s="14"/>
      <c r="I3" s="13"/>
      <c r="J3" s="16"/>
    </row>
    <row r="4" spans="1:12" s="12" customFormat="1" hidden="1" outlineLevel="1" x14ac:dyDescent="0.25">
      <c r="B4" s="12" t="s">
        <v>77</v>
      </c>
      <c r="F4" s="14"/>
      <c r="G4" s="14"/>
      <c r="H4" s="14"/>
      <c r="I4" s="13"/>
      <c r="J4" s="16"/>
    </row>
    <row r="5" spans="1:12" s="12" customFormat="1" hidden="1" outlineLevel="1" x14ac:dyDescent="0.25">
      <c r="F5" s="14"/>
      <c r="G5" s="14"/>
      <c r="H5" s="14"/>
      <c r="I5" s="13"/>
      <c r="J5" s="16"/>
    </row>
    <row r="6" spans="1:12" s="9" customFormat="1" collapsed="1" x14ac:dyDescent="0.25">
      <c r="C6" s="130"/>
      <c r="F6" s="68"/>
      <c r="G6" s="68"/>
      <c r="H6" s="68"/>
      <c r="I6" s="129"/>
      <c r="J6" s="131"/>
      <c r="K6" s="68"/>
    </row>
    <row r="7" spans="1:12" s="137" customFormat="1" ht="30" x14ac:dyDescent="0.25">
      <c r="A7" s="132" t="s">
        <v>12</v>
      </c>
      <c r="B7" s="132" t="s">
        <v>61</v>
      </c>
      <c r="C7" s="133" t="s">
        <v>140</v>
      </c>
      <c r="D7" s="133" t="s">
        <v>4</v>
      </c>
      <c r="E7" s="133" t="s">
        <v>5</v>
      </c>
      <c r="F7" s="134" t="s">
        <v>40</v>
      </c>
      <c r="G7" s="135" t="s">
        <v>137</v>
      </c>
      <c r="H7" s="135" t="s">
        <v>138</v>
      </c>
      <c r="I7" s="135" t="s">
        <v>139</v>
      </c>
      <c r="J7" s="133" t="s">
        <v>11</v>
      </c>
      <c r="K7" s="133" t="s">
        <v>6</v>
      </c>
      <c r="L7" s="136" t="s">
        <v>10</v>
      </c>
    </row>
    <row r="8" spans="1:12" s="139" customFormat="1" ht="15" customHeight="1" x14ac:dyDescent="0.25">
      <c r="A8" s="153"/>
      <c r="B8" s="154"/>
      <c r="C8" s="155"/>
      <c r="D8" s="156"/>
      <c r="E8" s="156"/>
      <c r="F8" s="154"/>
      <c r="G8" s="154"/>
      <c r="H8" s="154"/>
      <c r="I8" s="157">
        <f t="shared" ref="I8:I23" si="0">SUM(G8:H8)</f>
        <v>0</v>
      </c>
      <c r="J8" s="154"/>
      <c r="K8" s="154"/>
      <c r="L8" s="158"/>
    </row>
    <row r="9" spans="1:12" s="139" customFormat="1" ht="30" customHeight="1" x14ac:dyDescent="0.25">
      <c r="A9" s="138"/>
      <c r="B9" s="159"/>
      <c r="C9" s="160"/>
      <c r="D9" s="161"/>
      <c r="E9" s="161"/>
      <c r="F9" s="159"/>
      <c r="G9" s="159"/>
      <c r="H9" s="159"/>
      <c r="I9" s="113"/>
      <c r="J9" s="159"/>
      <c r="K9" s="159"/>
      <c r="L9" s="140"/>
    </row>
    <row r="10" spans="1:12" s="139" customFormat="1" ht="30" customHeight="1" x14ac:dyDescent="0.25">
      <c r="A10" s="138"/>
      <c r="B10" s="159"/>
      <c r="C10" s="160"/>
      <c r="D10" s="161"/>
      <c r="E10" s="161"/>
      <c r="F10" s="159"/>
      <c r="G10" s="159"/>
      <c r="H10" s="159"/>
      <c r="I10" s="113"/>
      <c r="J10" s="159"/>
      <c r="K10" s="159"/>
      <c r="L10" s="140"/>
    </row>
    <row r="11" spans="1:12" s="139" customFormat="1" ht="30" customHeight="1" x14ac:dyDescent="0.25">
      <c r="A11" s="138"/>
      <c r="B11" s="159"/>
      <c r="C11" s="160"/>
      <c r="D11" s="161"/>
      <c r="E11" s="161"/>
      <c r="F11" s="159"/>
      <c r="G11" s="159"/>
      <c r="H11" s="159"/>
      <c r="I11" s="113">
        <f t="shared" si="0"/>
        <v>0</v>
      </c>
      <c r="J11" s="159"/>
      <c r="K11" s="159"/>
      <c r="L11" s="140"/>
    </row>
    <row r="12" spans="1:12" s="139" customFormat="1" ht="30" customHeight="1" x14ac:dyDescent="0.25">
      <c r="A12" s="138"/>
      <c r="B12" s="159"/>
      <c r="C12" s="160"/>
      <c r="D12" s="161"/>
      <c r="E12" s="161"/>
      <c r="F12" s="159"/>
      <c r="G12" s="159"/>
      <c r="H12" s="159"/>
      <c r="I12" s="113">
        <f t="shared" si="0"/>
        <v>0</v>
      </c>
      <c r="J12" s="159"/>
      <c r="K12" s="159"/>
      <c r="L12" s="140"/>
    </row>
    <row r="13" spans="1:12" s="139" customFormat="1" ht="30" customHeight="1" x14ac:dyDescent="0.25">
      <c r="A13" s="138"/>
      <c r="B13" s="159"/>
      <c r="C13" s="160"/>
      <c r="D13" s="161"/>
      <c r="E13" s="161"/>
      <c r="F13" s="159"/>
      <c r="G13" s="159"/>
      <c r="H13" s="159"/>
      <c r="I13" s="113">
        <f t="shared" si="0"/>
        <v>0</v>
      </c>
      <c r="J13" s="159"/>
      <c r="K13" s="159"/>
      <c r="L13" s="140"/>
    </row>
    <row r="14" spans="1:12" s="139" customFormat="1" ht="30" customHeight="1" x14ac:dyDescent="0.25">
      <c r="A14" s="138"/>
      <c r="B14" s="159"/>
      <c r="C14" s="160"/>
      <c r="D14" s="161"/>
      <c r="E14" s="161"/>
      <c r="F14" s="159"/>
      <c r="G14" s="159"/>
      <c r="H14" s="159"/>
      <c r="I14" s="113">
        <f t="shared" si="0"/>
        <v>0</v>
      </c>
      <c r="J14" s="159"/>
      <c r="K14" s="159"/>
      <c r="L14" s="140"/>
    </row>
    <row r="15" spans="1:12" s="139" customFormat="1" ht="30" customHeight="1" x14ac:dyDescent="0.25">
      <c r="A15" s="138"/>
      <c r="B15" s="159"/>
      <c r="C15" s="160"/>
      <c r="D15" s="161"/>
      <c r="E15" s="161"/>
      <c r="F15" s="159"/>
      <c r="G15" s="159"/>
      <c r="H15" s="159"/>
      <c r="I15" s="113">
        <f t="shared" si="0"/>
        <v>0</v>
      </c>
      <c r="J15" s="159"/>
      <c r="K15" s="159"/>
      <c r="L15" s="140"/>
    </row>
    <row r="16" spans="1:12" s="139" customFormat="1" ht="30" customHeight="1" x14ac:dyDescent="0.25">
      <c r="A16" s="138"/>
      <c r="B16" s="159"/>
      <c r="C16" s="160"/>
      <c r="D16" s="161"/>
      <c r="E16" s="161"/>
      <c r="F16" s="159"/>
      <c r="G16" s="159"/>
      <c r="H16" s="159"/>
      <c r="I16" s="113">
        <f t="shared" si="0"/>
        <v>0</v>
      </c>
      <c r="J16" s="159"/>
      <c r="K16" s="159"/>
      <c r="L16" s="140"/>
    </row>
    <row r="17" spans="1:12" s="139" customFormat="1" ht="15" customHeight="1" x14ac:dyDescent="0.25">
      <c r="A17" s="138"/>
      <c r="B17" s="159"/>
      <c r="C17" s="160"/>
      <c r="D17" s="162"/>
      <c r="E17" s="161"/>
      <c r="F17" s="159"/>
      <c r="G17" s="159"/>
      <c r="H17" s="159"/>
      <c r="I17" s="113">
        <f t="shared" si="0"/>
        <v>0</v>
      </c>
      <c r="J17" s="159"/>
      <c r="K17" s="159"/>
      <c r="L17" s="140"/>
    </row>
    <row r="18" spans="1:12" s="139" customFormat="1" ht="30" customHeight="1" x14ac:dyDescent="0.25">
      <c r="A18" s="138"/>
      <c r="B18" s="159"/>
      <c r="C18" s="160"/>
      <c r="D18" s="161"/>
      <c r="E18" s="161"/>
      <c r="F18" s="159"/>
      <c r="G18" s="159"/>
      <c r="H18" s="159"/>
      <c r="I18" s="113">
        <f t="shared" si="0"/>
        <v>0</v>
      </c>
      <c r="J18" s="159"/>
      <c r="K18" s="159"/>
      <c r="L18" s="140"/>
    </row>
    <row r="19" spans="1:12" s="139" customFormat="1" x14ac:dyDescent="0.25">
      <c r="A19" s="138"/>
      <c r="B19" s="159"/>
      <c r="C19" s="160"/>
      <c r="D19" s="161"/>
      <c r="E19" s="161"/>
      <c r="F19" s="159"/>
      <c r="G19" s="159"/>
      <c r="H19" s="159"/>
      <c r="I19" s="113">
        <f t="shared" si="0"/>
        <v>0</v>
      </c>
      <c r="J19" s="159"/>
      <c r="K19" s="159"/>
      <c r="L19" s="140"/>
    </row>
    <row r="20" spans="1:12" s="139" customFormat="1" x14ac:dyDescent="0.25">
      <c r="A20" s="138"/>
      <c r="B20" s="159"/>
      <c r="C20" s="160"/>
      <c r="D20" s="161"/>
      <c r="E20" s="161"/>
      <c r="F20" s="159"/>
      <c r="G20" s="159"/>
      <c r="H20" s="159"/>
      <c r="I20" s="113">
        <f t="shared" si="0"/>
        <v>0</v>
      </c>
      <c r="J20" s="159"/>
      <c r="K20" s="159"/>
      <c r="L20" s="140"/>
    </row>
    <row r="21" spans="1:12" s="24" customFormat="1" x14ac:dyDescent="0.25">
      <c r="A21" s="19"/>
      <c r="B21" s="18"/>
      <c r="C21" s="21"/>
      <c r="D21" s="20"/>
      <c r="E21" s="20"/>
      <c r="F21" s="18"/>
      <c r="G21" s="18"/>
      <c r="H21" s="18"/>
      <c r="I21" s="113">
        <f t="shared" si="0"/>
        <v>0</v>
      </c>
      <c r="J21" s="18"/>
      <c r="K21" s="18"/>
      <c r="L21" s="23"/>
    </row>
    <row r="22" spans="1:12" s="24" customFormat="1" x14ac:dyDescent="0.25">
      <c r="A22" s="19"/>
      <c r="B22" s="18"/>
      <c r="C22" s="21"/>
      <c r="D22" s="20"/>
      <c r="E22" s="20"/>
      <c r="F22" s="18"/>
      <c r="G22" s="18"/>
      <c r="H22" s="18"/>
      <c r="I22" s="113">
        <f t="shared" si="0"/>
        <v>0</v>
      </c>
      <c r="J22" s="18"/>
      <c r="K22" s="18"/>
      <c r="L22" s="23"/>
    </row>
    <row r="23" spans="1:12" s="24" customFormat="1" ht="15" customHeight="1" x14ac:dyDescent="0.25">
      <c r="A23" s="32"/>
      <c r="B23" s="18"/>
      <c r="C23" s="34"/>
      <c r="D23" s="33"/>
      <c r="E23" s="33"/>
      <c r="F23" s="35"/>
      <c r="G23" s="35"/>
      <c r="H23" s="35"/>
      <c r="I23" s="113">
        <f t="shared" si="0"/>
        <v>0</v>
      </c>
      <c r="J23" s="35"/>
      <c r="K23" s="35"/>
      <c r="L23" s="36"/>
    </row>
    <row r="24" spans="1:12" s="24" customFormat="1" ht="15" customHeight="1" x14ac:dyDescent="0.25">
      <c r="A24" s="27"/>
      <c r="B24" s="112"/>
      <c r="C24" s="29"/>
      <c r="D24" s="28"/>
      <c r="E24" s="28"/>
      <c r="F24" s="30"/>
      <c r="G24" s="30"/>
      <c r="H24" s="30"/>
      <c r="I24" s="163"/>
      <c r="J24" s="30"/>
      <c r="K24" s="30"/>
      <c r="L24" s="31"/>
    </row>
    <row r="25" spans="1:12" x14ac:dyDescent="0.25">
      <c r="G25" s="80">
        <f>SUBTOTAL(9,G8:G24)</f>
        <v>0</v>
      </c>
      <c r="H25" s="80">
        <f>SUBTOTAL(9,H8:H24)</f>
        <v>0</v>
      </c>
      <c r="I25" s="80">
        <f>SUBTOTAL(9,I8:I24)</f>
        <v>0</v>
      </c>
    </row>
    <row r="27" spans="1:12" s="24" customFormat="1" x14ac:dyDescent="0.25">
      <c r="A27" s="19"/>
      <c r="B27" s="18"/>
      <c r="C27" s="21"/>
      <c r="D27" s="20"/>
      <c r="E27" s="20"/>
      <c r="F27" s="18" t="s">
        <v>51</v>
      </c>
      <c r="G27" s="18"/>
      <c r="H27" s="18"/>
      <c r="I27" s="22" t="s">
        <v>69</v>
      </c>
      <c r="J27" s="18"/>
      <c r="K27" s="18"/>
      <c r="L27"/>
    </row>
    <row r="28" spans="1:12" x14ac:dyDescent="0.25">
      <c r="F28" s="10">
        <f>Bérköltség!N176+Bérköltség!O176</f>
        <v>56185766</v>
      </c>
      <c r="G28" s="10"/>
      <c r="H28" s="10"/>
      <c r="I28" s="10">
        <f>Bérköltség!N176+Bérköltség!O176+Dologi_felhalm.!I25</f>
        <v>56185766</v>
      </c>
    </row>
  </sheetData>
  <autoFilter ref="A7:N20" xr:uid="{00000000-0001-0000-0200-000000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3B39D35A-EFC2-4C04-B401-56F5B9ED12C4}"/>
    </customSheetView>
  </customSheetViews>
  <dataValidations count="4">
    <dataValidation type="list" allowBlank="1" showInputMessage="1" showErrorMessage="1" sqref="K27 K8:K24" xr:uid="{00000000-0002-0000-0200-000000000000}">
      <formula1>$K$1:$K$2</formula1>
    </dataValidation>
    <dataValidation type="list" allowBlank="1" showInputMessage="1" showErrorMessage="1" sqref="J27 J8:J24" xr:uid="{00000000-0002-0000-0200-000002000000}">
      <formula1>$J$1:$J$2</formula1>
    </dataValidation>
    <dataValidation type="list" allowBlank="1" showInputMessage="1" showErrorMessage="1" sqref="B27" xr:uid="{00000000-0002-0000-0200-000004000000}">
      <formula1>$B$1:$B$2</formula1>
    </dataValidation>
    <dataValidation type="list" allowBlank="1" showInputMessage="1" showErrorMessage="1" sqref="B8:B24" xr:uid="{CB805A0D-1CD0-4D9D-AFA1-0F5E72AD823F}">
      <formula1>$B$1:$B$4</formula1>
    </dataValidation>
  </dataValidations>
  <pageMargins left="0.70866141732283472" right="0.70866141732283472" top="0.19685039370078741" bottom="0.19685039370078741" header="0.31496062992125984" footer="0.31496062992125984"/>
  <pageSetup paperSize="9" scale="51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A48"/>
  <sheetViews>
    <sheetView workbookViewId="0">
      <selection activeCell="A6" sqref="A6:A8"/>
    </sheetView>
  </sheetViews>
  <sheetFormatPr defaultRowHeight="15" x14ac:dyDescent="0.25"/>
  <sheetData>
    <row r="1" spans="1:1" x14ac:dyDescent="0.25">
      <c r="A1" s="83" t="s">
        <v>85</v>
      </c>
    </row>
    <row r="2" spans="1:1" x14ac:dyDescent="0.25">
      <c r="A2" s="84" t="s">
        <v>86</v>
      </c>
    </row>
    <row r="3" spans="1:1" x14ac:dyDescent="0.25">
      <c r="A3" s="83" t="s">
        <v>87</v>
      </c>
    </row>
    <row r="4" spans="1:1" x14ac:dyDescent="0.25">
      <c r="A4" s="84" t="s">
        <v>88</v>
      </c>
    </row>
    <row r="5" spans="1:1" x14ac:dyDescent="0.25">
      <c r="A5" s="84" t="s">
        <v>89</v>
      </c>
    </row>
    <row r="6" spans="1:1" x14ac:dyDescent="0.25">
      <c r="A6" s="84" t="s">
        <v>90</v>
      </c>
    </row>
    <row r="7" spans="1:1" x14ac:dyDescent="0.25">
      <c r="A7" s="84" t="s">
        <v>91</v>
      </c>
    </row>
    <row r="8" spans="1:1" x14ac:dyDescent="0.25">
      <c r="A8" s="84" t="s">
        <v>92</v>
      </c>
    </row>
    <row r="9" spans="1:1" x14ac:dyDescent="0.25">
      <c r="A9" s="84" t="s">
        <v>93</v>
      </c>
    </row>
    <row r="10" spans="1:1" x14ac:dyDescent="0.25">
      <c r="A10" s="84" t="s">
        <v>94</v>
      </c>
    </row>
    <row r="11" spans="1:1" x14ac:dyDescent="0.25">
      <c r="A11" s="84" t="s">
        <v>95</v>
      </c>
    </row>
    <row r="12" spans="1:1" x14ac:dyDescent="0.25">
      <c r="A12" s="84" t="s">
        <v>96</v>
      </c>
    </row>
    <row r="13" spans="1:1" x14ac:dyDescent="0.25">
      <c r="A13" s="84" t="s">
        <v>97</v>
      </c>
    </row>
    <row r="14" spans="1:1" x14ac:dyDescent="0.25">
      <c r="A14" s="84" t="s">
        <v>98</v>
      </c>
    </row>
    <row r="15" spans="1:1" x14ac:dyDescent="0.25">
      <c r="A15" s="84" t="s">
        <v>99</v>
      </c>
    </row>
    <row r="16" spans="1:1" x14ac:dyDescent="0.25">
      <c r="A16" s="84" t="s">
        <v>100</v>
      </c>
    </row>
    <row r="17" spans="1:1" x14ac:dyDescent="0.25">
      <c r="A17" s="84" t="s">
        <v>101</v>
      </c>
    </row>
    <row r="18" spans="1:1" x14ac:dyDescent="0.25">
      <c r="A18" s="84" t="s">
        <v>102</v>
      </c>
    </row>
    <row r="19" spans="1:1" x14ac:dyDescent="0.25">
      <c r="A19" s="84" t="s">
        <v>103</v>
      </c>
    </row>
    <row r="20" spans="1:1" x14ac:dyDescent="0.25">
      <c r="A20" s="84" t="s">
        <v>104</v>
      </c>
    </row>
    <row r="21" spans="1:1" x14ac:dyDescent="0.25">
      <c r="A21" s="84" t="s">
        <v>105</v>
      </c>
    </row>
    <row r="22" spans="1:1" x14ac:dyDescent="0.25">
      <c r="A22" s="84" t="s">
        <v>106</v>
      </c>
    </row>
    <row r="23" spans="1:1" x14ac:dyDescent="0.25">
      <c r="A23" s="84" t="s">
        <v>107</v>
      </c>
    </row>
    <row r="24" spans="1:1" x14ac:dyDescent="0.25">
      <c r="A24" s="84" t="s">
        <v>108</v>
      </c>
    </row>
    <row r="25" spans="1:1" x14ac:dyDescent="0.25">
      <c r="A25" s="84" t="s">
        <v>109</v>
      </c>
    </row>
    <row r="26" spans="1:1" x14ac:dyDescent="0.25">
      <c r="A26" s="84" t="s">
        <v>110</v>
      </c>
    </row>
    <row r="27" spans="1:1" x14ac:dyDescent="0.25">
      <c r="A27" s="84" t="s">
        <v>111</v>
      </c>
    </row>
    <row r="28" spans="1:1" x14ac:dyDescent="0.25">
      <c r="A28" t="s">
        <v>112</v>
      </c>
    </row>
    <row r="29" spans="1:1" x14ac:dyDescent="0.25">
      <c r="A29" t="s">
        <v>113</v>
      </c>
    </row>
    <row r="30" spans="1:1" x14ac:dyDescent="0.25">
      <c r="A30" t="s">
        <v>114</v>
      </c>
    </row>
    <row r="31" spans="1:1" x14ac:dyDescent="0.25">
      <c r="A31" t="s">
        <v>115</v>
      </c>
    </row>
    <row r="32" spans="1:1" x14ac:dyDescent="0.25">
      <c r="A32" t="s">
        <v>116</v>
      </c>
    </row>
    <row r="33" spans="1:1" x14ac:dyDescent="0.25">
      <c r="A33" t="s">
        <v>117</v>
      </c>
    </row>
    <row r="34" spans="1:1" x14ac:dyDescent="0.25">
      <c r="A34" t="s">
        <v>118</v>
      </c>
    </row>
    <row r="35" spans="1:1" x14ac:dyDescent="0.25">
      <c r="A35" t="s">
        <v>119</v>
      </c>
    </row>
    <row r="36" spans="1:1" x14ac:dyDescent="0.25">
      <c r="A36" t="s">
        <v>120</v>
      </c>
    </row>
    <row r="37" spans="1:1" x14ac:dyDescent="0.25">
      <c r="A37" t="s">
        <v>121</v>
      </c>
    </row>
    <row r="38" spans="1:1" x14ac:dyDescent="0.25">
      <c r="A38" t="s">
        <v>122</v>
      </c>
    </row>
    <row r="39" spans="1:1" x14ac:dyDescent="0.25">
      <c r="A39" t="s">
        <v>123</v>
      </c>
    </row>
    <row r="40" spans="1:1" x14ac:dyDescent="0.25">
      <c r="A40" t="s">
        <v>124</v>
      </c>
    </row>
    <row r="41" spans="1:1" x14ac:dyDescent="0.25">
      <c r="A41" t="s">
        <v>125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128</v>
      </c>
    </row>
    <row r="45" spans="1:1" x14ac:dyDescent="0.25">
      <c r="A45" t="s">
        <v>129</v>
      </c>
    </row>
    <row r="46" spans="1:1" x14ac:dyDescent="0.25">
      <c r="A46" t="s">
        <v>130</v>
      </c>
    </row>
    <row r="47" spans="1:1" x14ac:dyDescent="0.25">
      <c r="A47" t="s">
        <v>131</v>
      </c>
    </row>
    <row r="48" spans="1:1" x14ac:dyDescent="0.25">
      <c r="A48" t="s">
        <v>132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A2"/>
  <sheetViews>
    <sheetView workbookViewId="0">
      <selection sqref="A1:A2"/>
    </sheetView>
  </sheetViews>
  <sheetFormatPr defaultRowHeight="15" x14ac:dyDescent="0.25"/>
  <cols>
    <col min="1" max="2" width="27.42578125" customWidth="1"/>
  </cols>
  <sheetData>
    <row r="1" spans="1:1" s="24" customFormat="1" ht="18.75" customHeight="1" x14ac:dyDescent="0.25">
      <c r="A1" s="24" t="s">
        <v>83</v>
      </c>
    </row>
    <row r="2" spans="1:1" s="24" customFormat="1" ht="18.75" customHeight="1" x14ac:dyDescent="0.25">
      <c r="A2" s="24" t="s">
        <v>84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4A8-201D-4374-8492-00396E1EF7FA}">
  <dimension ref="A1:A6"/>
  <sheetViews>
    <sheetView workbookViewId="0">
      <selection activeCell="A9" sqref="A9"/>
    </sheetView>
  </sheetViews>
  <sheetFormatPr defaultRowHeight="15" x14ac:dyDescent="0.25"/>
  <cols>
    <col min="1" max="1" width="26" customWidth="1"/>
  </cols>
  <sheetData>
    <row r="1" spans="1:1" x14ac:dyDescent="0.25">
      <c r="A1" s="101" t="s">
        <v>56</v>
      </c>
    </row>
    <row r="2" spans="1:1" x14ac:dyDescent="0.25">
      <c r="A2" s="101" t="s">
        <v>74</v>
      </c>
    </row>
    <row r="3" spans="1:1" x14ac:dyDescent="0.25">
      <c r="A3" s="101" t="s">
        <v>55</v>
      </c>
    </row>
    <row r="4" spans="1:1" x14ac:dyDescent="0.25">
      <c r="A4" s="101" t="s">
        <v>75</v>
      </c>
    </row>
    <row r="5" spans="1:1" x14ac:dyDescent="0.25">
      <c r="A5" s="107" t="s">
        <v>54</v>
      </c>
    </row>
    <row r="6" spans="1:1" x14ac:dyDescent="0.25">
      <c r="A6" s="141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229ED-074E-434D-924D-38D9459DBEC3}">
  <dimension ref="A1:E35"/>
  <sheetViews>
    <sheetView topLeftCell="A2" workbookViewId="0">
      <selection activeCell="I29" sqref="I29"/>
    </sheetView>
  </sheetViews>
  <sheetFormatPr defaultRowHeight="15" x14ac:dyDescent="0.25"/>
  <cols>
    <col min="4" max="4" width="19.28515625" bestFit="1" customWidth="1"/>
  </cols>
  <sheetData>
    <row r="1" spans="1:5" x14ac:dyDescent="0.25">
      <c r="A1" t="s">
        <v>192</v>
      </c>
      <c r="D1" t="s">
        <v>191</v>
      </c>
    </row>
    <row r="2" spans="1:5" x14ac:dyDescent="0.25">
      <c r="A2" t="s">
        <v>190</v>
      </c>
      <c r="D2" s="190">
        <v>319993170</v>
      </c>
    </row>
    <row r="3" spans="1:5" x14ac:dyDescent="0.25">
      <c r="A3" t="s">
        <v>185</v>
      </c>
    </row>
    <row r="4" spans="1:5" x14ac:dyDescent="0.25">
      <c r="B4" t="s">
        <v>186</v>
      </c>
      <c r="D4" s="190">
        <v>79999685</v>
      </c>
      <c r="E4" t="s">
        <v>193</v>
      </c>
    </row>
    <row r="5" spans="1:5" x14ac:dyDescent="0.25">
      <c r="B5" t="s">
        <v>187</v>
      </c>
      <c r="D5" s="190">
        <v>79994105</v>
      </c>
      <c r="E5" t="s">
        <v>194</v>
      </c>
    </row>
    <row r="6" spans="1:5" x14ac:dyDescent="0.25">
      <c r="B6" t="s">
        <v>188</v>
      </c>
      <c r="D6" s="190">
        <v>79999990</v>
      </c>
      <c r="E6" t="s">
        <v>195</v>
      </c>
    </row>
    <row r="7" spans="1:5" x14ac:dyDescent="0.25">
      <c r="B7" t="s">
        <v>189</v>
      </c>
      <c r="D7" s="190">
        <v>79999390</v>
      </c>
      <c r="E7" t="s">
        <v>196</v>
      </c>
    </row>
    <row r="8" spans="1:5" x14ac:dyDescent="0.25">
      <c r="A8" t="s">
        <v>197</v>
      </c>
    </row>
    <row r="9" spans="1:5" x14ac:dyDescent="0.25">
      <c r="B9" t="s">
        <v>198</v>
      </c>
    </row>
    <row r="10" spans="1:5" x14ac:dyDescent="0.25">
      <c r="B10" t="s">
        <v>199</v>
      </c>
    </row>
    <row r="11" spans="1:5" x14ac:dyDescent="0.25">
      <c r="B11" t="s">
        <v>200</v>
      </c>
    </row>
    <row r="12" spans="1:5" x14ac:dyDescent="0.25">
      <c r="B12" t="s">
        <v>201</v>
      </c>
    </row>
    <row r="13" spans="1:5" x14ac:dyDescent="0.25">
      <c r="B13" t="s">
        <v>202</v>
      </c>
    </row>
    <row r="15" spans="1:5" x14ac:dyDescent="0.25">
      <c r="A15" t="s">
        <v>203</v>
      </c>
    </row>
    <row r="16" spans="1:5" x14ac:dyDescent="0.25">
      <c r="A16" t="s">
        <v>204</v>
      </c>
    </row>
    <row r="17" spans="1:4" x14ac:dyDescent="0.25">
      <c r="A17" t="s">
        <v>205</v>
      </c>
    </row>
    <row r="18" spans="1:4" x14ac:dyDescent="0.25">
      <c r="A18" t="s">
        <v>206</v>
      </c>
    </row>
    <row r="19" spans="1:4" x14ac:dyDescent="0.25">
      <c r="A19" t="s">
        <v>207</v>
      </c>
    </row>
    <row r="21" spans="1:4" x14ac:dyDescent="0.25">
      <c r="A21" t="s">
        <v>208</v>
      </c>
    </row>
    <row r="22" spans="1:4" x14ac:dyDescent="0.25">
      <c r="A22" t="s">
        <v>209</v>
      </c>
    </row>
    <row r="23" spans="1:4" x14ac:dyDescent="0.25">
      <c r="A23" t="s">
        <v>210</v>
      </c>
    </row>
    <row r="24" spans="1:4" x14ac:dyDescent="0.25">
      <c r="A24" t="s">
        <v>211</v>
      </c>
    </row>
    <row r="25" spans="1:4" x14ac:dyDescent="0.25">
      <c r="A25" t="s">
        <v>213</v>
      </c>
    </row>
    <row r="26" spans="1:4" x14ac:dyDescent="0.25">
      <c r="A26" t="s">
        <v>214</v>
      </c>
    </row>
    <row r="27" spans="1:4" x14ac:dyDescent="0.25">
      <c r="A27" t="s">
        <v>215</v>
      </c>
    </row>
    <row r="28" spans="1:4" x14ac:dyDescent="0.25">
      <c r="B28" t="s">
        <v>216</v>
      </c>
      <c r="D28" t="s">
        <v>217</v>
      </c>
    </row>
    <row r="29" spans="1:4" x14ac:dyDescent="0.25">
      <c r="B29" t="s">
        <v>218</v>
      </c>
      <c r="D29" t="s">
        <v>219</v>
      </c>
    </row>
    <row r="30" spans="1:4" x14ac:dyDescent="0.25">
      <c r="A30" t="s">
        <v>220</v>
      </c>
    </row>
    <row r="31" spans="1:4" x14ac:dyDescent="0.25">
      <c r="A31" t="s">
        <v>221</v>
      </c>
    </row>
    <row r="32" spans="1:4" x14ac:dyDescent="0.25">
      <c r="A32" t="s">
        <v>222</v>
      </c>
    </row>
    <row r="34" spans="1:1" x14ac:dyDescent="0.25">
      <c r="A34" t="s">
        <v>212</v>
      </c>
    </row>
    <row r="35" spans="1:1" x14ac:dyDescent="0.25">
      <c r="A35" t="s">
        <v>223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2A79-6E12-45C2-9DFC-116FF02FA064}">
  <dimension ref="A1:E17"/>
  <sheetViews>
    <sheetView workbookViewId="0">
      <selection activeCell="I25" sqref="I25"/>
    </sheetView>
  </sheetViews>
  <sheetFormatPr defaultRowHeight="15" x14ac:dyDescent="0.25"/>
  <cols>
    <col min="1" max="5" width="17.28515625" customWidth="1"/>
  </cols>
  <sheetData>
    <row r="1" spans="1:5" x14ac:dyDescent="0.25">
      <c r="A1" s="196" t="s">
        <v>231</v>
      </c>
      <c r="B1" s="196" t="s">
        <v>232</v>
      </c>
      <c r="C1" s="196" t="s">
        <v>233</v>
      </c>
      <c r="D1" s="196" t="s">
        <v>15</v>
      </c>
      <c r="E1" s="196" t="s">
        <v>229</v>
      </c>
    </row>
    <row r="2" spans="1:5" x14ac:dyDescent="0.25">
      <c r="A2" s="199" t="s">
        <v>50</v>
      </c>
      <c r="B2" s="200" t="s">
        <v>161</v>
      </c>
      <c r="C2" s="201" t="s">
        <v>52</v>
      </c>
      <c r="D2" s="202">
        <v>599200</v>
      </c>
      <c r="E2" s="202">
        <v>77896</v>
      </c>
    </row>
    <row r="3" spans="1:5" x14ac:dyDescent="0.25">
      <c r="A3" s="199" t="s">
        <v>148</v>
      </c>
      <c r="B3" s="200" t="s">
        <v>163</v>
      </c>
      <c r="C3" s="201" t="s">
        <v>239</v>
      </c>
      <c r="D3" s="202">
        <v>690001</v>
      </c>
      <c r="E3" s="202">
        <v>89700</v>
      </c>
    </row>
    <row r="4" spans="1:5" x14ac:dyDescent="0.25">
      <c r="A4" s="199" t="s">
        <v>240</v>
      </c>
      <c r="B4" s="200" t="s">
        <v>162</v>
      </c>
      <c r="C4" s="201" t="s">
        <v>67</v>
      </c>
      <c r="D4" s="202">
        <v>916000</v>
      </c>
      <c r="E4" s="202">
        <v>119080</v>
      </c>
    </row>
    <row r="5" spans="1:5" x14ac:dyDescent="0.25">
      <c r="A5" s="199" t="s">
        <v>241</v>
      </c>
      <c r="B5" s="200" t="s">
        <v>179</v>
      </c>
      <c r="C5" s="201" t="s">
        <v>178</v>
      </c>
      <c r="D5" s="202">
        <v>995000</v>
      </c>
      <c r="E5" s="202">
        <v>129350</v>
      </c>
    </row>
    <row r="6" spans="1:5" x14ac:dyDescent="0.25">
      <c r="A6" s="199" t="s">
        <v>242</v>
      </c>
      <c r="B6" s="200" t="s">
        <v>184</v>
      </c>
      <c r="C6" s="201" t="s">
        <v>178</v>
      </c>
      <c r="D6" s="202">
        <v>872273</v>
      </c>
      <c r="E6" s="202">
        <v>113395</v>
      </c>
    </row>
    <row r="7" spans="1:5" x14ac:dyDescent="0.25">
      <c r="A7" s="199" t="s">
        <v>180</v>
      </c>
      <c r="B7" s="200" t="s">
        <v>182</v>
      </c>
      <c r="C7" s="201" t="s">
        <v>181</v>
      </c>
      <c r="D7" s="202">
        <v>650000</v>
      </c>
      <c r="E7" s="202">
        <v>84500</v>
      </c>
    </row>
    <row r="8" spans="1:5" x14ac:dyDescent="0.25">
      <c r="A8" s="199" t="s">
        <v>243</v>
      </c>
      <c r="B8" s="200" t="s">
        <v>176</v>
      </c>
      <c r="C8" s="201" t="s">
        <v>165</v>
      </c>
      <c r="D8" s="202">
        <v>980000</v>
      </c>
      <c r="E8" s="202">
        <v>127400</v>
      </c>
    </row>
    <row r="9" spans="1:5" x14ac:dyDescent="0.25">
      <c r="A9" s="199" t="s">
        <v>244</v>
      </c>
      <c r="B9" s="200" t="s">
        <v>168</v>
      </c>
      <c r="C9" s="201" t="s">
        <v>165</v>
      </c>
      <c r="D9" s="202">
        <v>480000</v>
      </c>
      <c r="E9" s="202">
        <v>62400</v>
      </c>
    </row>
    <row r="10" spans="1:5" x14ac:dyDescent="0.25">
      <c r="A10" s="199" t="s">
        <v>245</v>
      </c>
      <c r="B10" s="200" t="s">
        <v>166</v>
      </c>
      <c r="C10" s="201" t="s">
        <v>165</v>
      </c>
      <c r="D10" s="202">
        <v>120000</v>
      </c>
      <c r="E10" s="202">
        <v>15600</v>
      </c>
    </row>
    <row r="11" spans="1:5" x14ac:dyDescent="0.25">
      <c r="A11" s="199" t="s">
        <v>171</v>
      </c>
      <c r="B11" s="200" t="s">
        <v>172</v>
      </c>
      <c r="C11" s="201" t="s">
        <v>67</v>
      </c>
      <c r="D11" s="202">
        <v>440000</v>
      </c>
      <c r="E11" s="202">
        <v>57200</v>
      </c>
    </row>
    <row r="12" spans="1:5" x14ac:dyDescent="0.25">
      <c r="A12" s="199" t="s">
        <v>251</v>
      </c>
      <c r="B12" s="200" t="s">
        <v>236</v>
      </c>
      <c r="C12" s="201" t="s">
        <v>165</v>
      </c>
      <c r="D12" s="202">
        <v>1590000</v>
      </c>
      <c r="E12" s="202">
        <v>206700</v>
      </c>
    </row>
    <row r="13" spans="1:5" x14ac:dyDescent="0.25">
      <c r="A13" s="199" t="s">
        <v>227</v>
      </c>
      <c r="B13" s="200" t="s">
        <v>228</v>
      </c>
      <c r="C13" s="201" t="s">
        <v>67</v>
      </c>
      <c r="D13" s="202">
        <v>120000</v>
      </c>
      <c r="E13" s="202">
        <v>15600</v>
      </c>
    </row>
    <row r="14" spans="1:5" x14ac:dyDescent="0.25">
      <c r="A14" s="199" t="s">
        <v>225</v>
      </c>
      <c r="B14" s="200" t="s">
        <v>226</v>
      </c>
      <c r="C14" s="201" t="s">
        <v>67</v>
      </c>
      <c r="D14" s="202">
        <v>120000</v>
      </c>
      <c r="E14" s="202">
        <v>15600</v>
      </c>
    </row>
    <row r="15" spans="1:5" x14ac:dyDescent="0.25">
      <c r="A15" s="199" t="s">
        <v>252</v>
      </c>
      <c r="B15" s="200" t="s">
        <v>170</v>
      </c>
      <c r="C15" s="201" t="s">
        <v>165</v>
      </c>
      <c r="D15" s="202">
        <v>480000</v>
      </c>
      <c r="E15" s="202">
        <v>62400</v>
      </c>
    </row>
    <row r="16" spans="1:5" x14ac:dyDescent="0.25">
      <c r="A16" s="199" t="s">
        <v>253</v>
      </c>
      <c r="B16" s="200" t="s">
        <v>160</v>
      </c>
      <c r="C16" s="201" t="s">
        <v>63</v>
      </c>
      <c r="D16" s="202">
        <v>240000</v>
      </c>
      <c r="E16" s="202">
        <v>31200</v>
      </c>
    </row>
    <row r="17" spans="1:5" x14ac:dyDescent="0.25">
      <c r="A17" s="199" t="s">
        <v>173</v>
      </c>
      <c r="B17" s="200" t="s">
        <v>174</v>
      </c>
      <c r="C17" s="201" t="s">
        <v>63</v>
      </c>
      <c r="D17" s="202">
        <v>240000</v>
      </c>
      <c r="E17" s="202">
        <v>1040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Költségvetés</vt:lpstr>
      <vt:lpstr>Bérköltség</vt:lpstr>
      <vt:lpstr>Dologi_felhalm.</vt:lpstr>
      <vt:lpstr>Hónapok</vt:lpstr>
      <vt:lpstr>Témaszámok</vt:lpstr>
      <vt:lpstr>Admin</vt:lpstr>
      <vt:lpstr>Információk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2023-04-04T06:09:03Z</cp:lastPrinted>
  <dcterms:created xsi:type="dcterms:W3CDTF">2012-04-12T14:47:49Z</dcterms:created>
  <dcterms:modified xsi:type="dcterms:W3CDTF">2023-04-28T10:45:18Z</dcterms:modified>
</cp:coreProperties>
</file>